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D:\Backup\CMPA - SPD e Pregões\Master\limpeza\"/>
    </mc:Choice>
  </mc:AlternateContent>
  <xr:revisionPtr revIDLastSave="0" documentId="13_ncr:1_{192E44A9-D2EF-44C5-8038-B28A21095771}" xr6:coauthVersionLast="47" xr6:coauthVersionMax="47" xr10:uidLastSave="{00000000-0000-0000-0000-000000000000}"/>
  <bookViews>
    <workbookView xWindow="28680" yWindow="-120" windowWidth="29040" windowHeight="16440" tabRatio="843" xr2:uid="{00000000-000D-0000-FFFF-FFFF00000000}"/>
  </bookViews>
  <sheets>
    <sheet name="Totais Finais" sheetId="71" r:id="rId1"/>
    <sheet name="Servente Limpeza 40%" sheetId="72" r:id="rId2"/>
    <sheet name="Aux.Serv.Gerais" sheetId="79" r:id="rId3"/>
    <sheet name="Limpador Alpinista" sheetId="77" r:id="rId4"/>
    <sheet name="Supervisor" sheetId="78" r:id="rId5"/>
  </sheets>
  <externalReferences>
    <externalReference r:id="rId6"/>
    <externalReference r:id="rId7"/>
  </externalReferences>
  <definedNames>
    <definedName name="Área_Médico_Hospitalar">#REF!</definedName>
    <definedName name="CPT">#REF!</definedName>
    <definedName name="Esquadrias_Externas">#REF!</definedName>
    <definedName name="Externa">#REF!</definedName>
    <definedName name="Fachada_Envidraçada">#REF!</definedName>
    <definedName name="Interna">#REF!</definedName>
    <definedName name="Percentuais">#REF!</definedName>
    <definedName name="Regime">#REF!</definedName>
    <definedName name="Tarefa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7" i="71" l="1"/>
  <c r="G16" i="71"/>
  <c r="G14" i="71"/>
  <c r="F12" i="71" l="1"/>
  <c r="G12" i="71" s="1"/>
  <c r="C62" i="78"/>
  <c r="C62" i="77"/>
  <c r="C62" i="79"/>
  <c r="C62" i="72"/>
  <c r="F11" i="71" l="1"/>
  <c r="G11" i="71" s="1"/>
  <c r="C57" i="72" l="1"/>
  <c r="C55" i="72"/>
  <c r="C57" i="79"/>
  <c r="C55" i="79"/>
  <c r="C57" i="77"/>
  <c r="C55" i="77"/>
  <c r="C55" i="78"/>
  <c r="C57" i="78"/>
  <c r="F15" i="71"/>
  <c r="G15" i="71" s="1"/>
  <c r="F13" i="71"/>
  <c r="G13" i="71" s="1"/>
  <c r="G18" i="71" s="1"/>
  <c r="B73" i="72" l="1"/>
  <c r="B73" i="77"/>
  <c r="B73" i="78"/>
  <c r="B26" i="79" l="1"/>
  <c r="B112" i="79"/>
  <c r="B101" i="79"/>
  <c r="B95" i="79"/>
  <c r="B82" i="79"/>
  <c r="B76" i="79"/>
  <c r="B89" i="79" s="1"/>
  <c r="B90" i="79" s="1"/>
  <c r="B120" i="79" s="1"/>
  <c r="C63" i="79"/>
  <c r="C56" i="79"/>
  <c r="B46" i="79"/>
  <c r="C46" i="79" s="1"/>
  <c r="C45" i="79"/>
  <c r="B43" i="79"/>
  <c r="B35" i="79" s="1"/>
  <c r="C37" i="79"/>
  <c r="B33" i="79"/>
  <c r="B34" i="79" s="1"/>
  <c r="B7" i="79"/>
  <c r="B4" i="79"/>
  <c r="B21" i="79" s="1"/>
  <c r="C54" i="79" s="1"/>
  <c r="B45" i="78"/>
  <c r="C45" i="78" s="1"/>
  <c r="B45" i="77"/>
  <c r="C45" i="77" s="1"/>
  <c r="B112" i="78"/>
  <c r="B101" i="78"/>
  <c r="B95" i="78"/>
  <c r="B96" i="78" s="1"/>
  <c r="B82" i="78"/>
  <c r="B76" i="78"/>
  <c r="B89" i="78" s="1"/>
  <c r="B90" i="78" s="1"/>
  <c r="B120" i="78" s="1"/>
  <c r="C63" i="78"/>
  <c r="C56" i="78"/>
  <c r="C46" i="78"/>
  <c r="B43" i="78"/>
  <c r="B35" i="78" s="1"/>
  <c r="C37" i="78"/>
  <c r="B33" i="78"/>
  <c r="B34" i="78" s="1"/>
  <c r="B7" i="78"/>
  <c r="B4" i="78"/>
  <c r="B18" i="78" s="1"/>
  <c r="B112" i="77"/>
  <c r="B101" i="77"/>
  <c r="B96" i="77"/>
  <c r="B95" i="77"/>
  <c r="B82" i="77"/>
  <c r="B76" i="77"/>
  <c r="B89" i="77" s="1"/>
  <c r="B90" i="77" s="1"/>
  <c r="B120" i="77" s="1"/>
  <c r="C63" i="77"/>
  <c r="C56" i="77"/>
  <c r="B46" i="77"/>
  <c r="C46" i="77" s="1"/>
  <c r="B43" i="77"/>
  <c r="C37" i="77"/>
  <c r="B35" i="77"/>
  <c r="B33" i="77"/>
  <c r="B34" i="77" s="1"/>
  <c r="B7" i="77"/>
  <c r="B4" i="77"/>
  <c r="B21" i="77" s="1"/>
  <c r="C54" i="77" s="1"/>
  <c r="B112" i="72"/>
  <c r="B101" i="72"/>
  <c r="B95" i="72"/>
  <c r="B96" i="72" s="1"/>
  <c r="B82" i="72"/>
  <c r="B76" i="72"/>
  <c r="B118" i="72" s="1"/>
  <c r="C56" i="72"/>
  <c r="B46" i="72"/>
  <c r="C46" i="72" s="1"/>
  <c r="C45" i="72"/>
  <c r="B43" i="72"/>
  <c r="B35" i="72" s="1"/>
  <c r="C37" i="72"/>
  <c r="B33" i="72"/>
  <c r="B34" i="72" s="1"/>
  <c r="B7" i="72"/>
  <c r="B4" i="72"/>
  <c r="B21" i="72" s="1"/>
  <c r="C54" i="72" s="1"/>
  <c r="D8" i="71"/>
  <c r="B83" i="72" l="1"/>
  <c r="B84" i="72" s="1"/>
  <c r="B119" i="72" s="1"/>
  <c r="B100" i="77"/>
  <c r="C41" i="79"/>
  <c r="B100" i="72"/>
  <c r="B103" i="72" s="1"/>
  <c r="B121" i="72" s="1"/>
  <c r="B103" i="77"/>
  <c r="B121" i="77" s="1"/>
  <c r="B21" i="78"/>
  <c r="C54" i="78" s="1"/>
  <c r="B89" i="72"/>
  <c r="B90" i="72" s="1"/>
  <c r="B120" i="72" s="1"/>
  <c r="B18" i="79"/>
  <c r="C53" i="79" s="1"/>
  <c r="C58" i="79" s="1"/>
  <c r="B113" i="79"/>
  <c r="B114" i="79" s="1"/>
  <c r="B122" i="79" s="1"/>
  <c r="B83" i="77"/>
  <c r="B84" i="77" s="1"/>
  <c r="B119" i="77" s="1"/>
  <c r="B118" i="77"/>
  <c r="B113" i="72"/>
  <c r="B114" i="72" s="1"/>
  <c r="B122" i="72" s="1"/>
  <c r="B113" i="77"/>
  <c r="B114" i="77" s="1"/>
  <c r="B122" i="77" s="1"/>
  <c r="C43" i="78"/>
  <c r="B83" i="78"/>
  <c r="B84" i="78" s="1"/>
  <c r="B119" i="78" s="1"/>
  <c r="B18" i="72"/>
  <c r="C53" i="72" s="1"/>
  <c r="B18" i="77"/>
  <c r="B113" i="78"/>
  <c r="B114" i="78" s="1"/>
  <c r="B122" i="78" s="1"/>
  <c r="B118" i="79"/>
  <c r="C41" i="72"/>
  <c r="C44" i="79"/>
  <c r="C43" i="79"/>
  <c r="C47" i="79" s="1"/>
  <c r="B96" i="79"/>
  <c r="B83" i="79"/>
  <c r="B84" i="79" s="1"/>
  <c r="B119" i="79" s="1"/>
  <c r="B100" i="79"/>
  <c r="C41" i="77"/>
  <c r="C44" i="77"/>
  <c r="F18" i="71"/>
  <c r="C44" i="78"/>
  <c r="C43" i="77"/>
  <c r="C41" i="78"/>
  <c r="B100" i="78"/>
  <c r="B103" i="78" s="1"/>
  <c r="B121" i="78" s="1"/>
  <c r="B118" i="78"/>
  <c r="C44" i="72"/>
  <c r="C43" i="72"/>
  <c r="B123" i="72" l="1"/>
  <c r="B103" i="79"/>
  <c r="B121" i="79" s="1"/>
  <c r="B123" i="79" s="1"/>
  <c r="B123" i="77"/>
  <c r="C47" i="78"/>
  <c r="C48" i="78" s="1"/>
  <c r="C49" i="78" s="1"/>
  <c r="B56" i="78" s="1"/>
  <c r="C53" i="77"/>
  <c r="C48" i="79"/>
  <c r="C49" i="79" s="1"/>
  <c r="C47" i="77"/>
  <c r="C48" i="77" s="1"/>
  <c r="C49" i="77" s="1"/>
  <c r="C53" i="78"/>
  <c r="B123" i="78"/>
  <c r="C58" i="77"/>
  <c r="C58" i="72"/>
  <c r="C47" i="72"/>
  <c r="C48" i="72" s="1"/>
  <c r="C49" i="72" s="1"/>
  <c r="C108" i="79" l="1"/>
  <c r="C94" i="79"/>
  <c r="C75" i="79"/>
  <c r="C107" i="79"/>
  <c r="C74" i="79"/>
  <c r="C73" i="79"/>
  <c r="C89" i="79"/>
  <c r="C72" i="79"/>
  <c r="C102" i="79"/>
  <c r="C71" i="79"/>
  <c r="C101" i="79"/>
  <c r="C88" i="79"/>
  <c r="C70" i="79"/>
  <c r="C69" i="79"/>
  <c r="C100" i="79"/>
  <c r="C68" i="79"/>
  <c r="C83" i="79"/>
  <c r="C99" i="79"/>
  <c r="C98" i="79"/>
  <c r="B62" i="79"/>
  <c r="B63" i="79" s="1"/>
  <c r="C97" i="79"/>
  <c r="C96" i="79"/>
  <c r="C81" i="79"/>
  <c r="C111" i="79"/>
  <c r="C80" i="79"/>
  <c r="C110" i="79"/>
  <c r="C95" i="79"/>
  <c r="B57" i="79"/>
  <c r="C109" i="79"/>
  <c r="C113" i="79"/>
  <c r="B56" i="79"/>
  <c r="B55" i="79"/>
  <c r="B53" i="79"/>
  <c r="B54" i="79"/>
  <c r="C70" i="78"/>
  <c r="C113" i="78"/>
  <c r="C83" i="78"/>
  <c r="C68" i="78"/>
  <c r="C100" i="78"/>
  <c r="C69" i="78"/>
  <c r="C75" i="78"/>
  <c r="C94" i="78"/>
  <c r="C108" i="78"/>
  <c r="B57" i="78"/>
  <c r="C95" i="78"/>
  <c r="C110" i="78"/>
  <c r="C80" i="78"/>
  <c r="C111" i="78"/>
  <c r="B55" i="78"/>
  <c r="C96" i="78"/>
  <c r="C97" i="78"/>
  <c r="C109" i="78"/>
  <c r="C88" i="78"/>
  <c r="C101" i="78"/>
  <c r="C71" i="78"/>
  <c r="C102" i="78"/>
  <c r="C81" i="78"/>
  <c r="C72" i="78"/>
  <c r="B62" i="78"/>
  <c r="B63" i="78" s="1"/>
  <c r="C89" i="78"/>
  <c r="C73" i="78"/>
  <c r="C98" i="78"/>
  <c r="B54" i="78"/>
  <c r="C74" i="78"/>
  <c r="C99" i="78"/>
  <c r="C107" i="78"/>
  <c r="B62" i="77"/>
  <c r="B63" i="77" s="1"/>
  <c r="B55" i="77"/>
  <c r="C68" i="77"/>
  <c r="C69" i="77"/>
  <c r="C80" i="77"/>
  <c r="C94" i="77"/>
  <c r="C111" i="77"/>
  <c r="C107" i="77"/>
  <c r="C113" i="77"/>
  <c r="C108" i="77"/>
  <c r="C95" i="77"/>
  <c r="C70" i="77"/>
  <c r="C88" i="77"/>
  <c r="C101" i="77"/>
  <c r="C71" i="77"/>
  <c r="C81" i="77"/>
  <c r="C99" i="77"/>
  <c r="C109" i="77"/>
  <c r="C110" i="77"/>
  <c r="C96" i="77"/>
  <c r="C72" i="77"/>
  <c r="C97" i="77"/>
  <c r="C89" i="77"/>
  <c r="C98" i="77"/>
  <c r="C73" i="77"/>
  <c r="B53" i="77"/>
  <c r="C75" i="77"/>
  <c r="C83" i="77"/>
  <c r="C100" i="77"/>
  <c r="C102" i="77"/>
  <c r="B57" i="77"/>
  <c r="B56" i="77"/>
  <c r="B54" i="77"/>
  <c r="C74" i="77"/>
  <c r="C58" i="78"/>
  <c r="B53" i="78"/>
  <c r="C98" i="72"/>
  <c r="C97" i="72"/>
  <c r="C96" i="72"/>
  <c r="C81" i="72"/>
  <c r="C111" i="72"/>
  <c r="C80" i="72"/>
  <c r="C110" i="72"/>
  <c r="C95" i="72"/>
  <c r="C99" i="72"/>
  <c r="C109" i="72"/>
  <c r="C108" i="72"/>
  <c r="C94" i="72"/>
  <c r="C75" i="72"/>
  <c r="C107" i="72"/>
  <c r="C74" i="72"/>
  <c r="C73" i="72"/>
  <c r="C89" i="72"/>
  <c r="C72" i="72"/>
  <c r="C102" i="72"/>
  <c r="C71" i="72"/>
  <c r="C101" i="72"/>
  <c r="C88" i="72"/>
  <c r="C70" i="72"/>
  <c r="C69" i="72"/>
  <c r="C100" i="72"/>
  <c r="C68" i="72"/>
  <c r="C83" i="72"/>
  <c r="C113" i="72"/>
  <c r="B56" i="72"/>
  <c r="B57" i="72"/>
  <c r="B55" i="72"/>
  <c r="B54" i="72"/>
  <c r="B53" i="72"/>
  <c r="C90" i="77" l="1"/>
  <c r="C120" i="77" s="1"/>
  <c r="C112" i="78"/>
  <c r="C114" i="78" s="1"/>
  <c r="C122" i="78" s="1"/>
  <c r="C90" i="72"/>
  <c r="C120" i="72" s="1"/>
  <c r="C112" i="72"/>
  <c r="C114" i="72" s="1"/>
  <c r="C122" i="72" s="1"/>
  <c r="C82" i="72"/>
  <c r="C84" i="72" s="1"/>
  <c r="C119" i="72" s="1"/>
  <c r="C90" i="79"/>
  <c r="C120" i="79" s="1"/>
  <c r="C82" i="79"/>
  <c r="C84" i="79" s="1"/>
  <c r="C119" i="79" s="1"/>
  <c r="C103" i="79"/>
  <c r="C121" i="79" s="1"/>
  <c r="C112" i="79"/>
  <c r="C114" i="79" s="1"/>
  <c r="C122" i="79" s="1"/>
  <c r="B58" i="79"/>
  <c r="C76" i="79"/>
  <c r="C118" i="79" s="1"/>
  <c r="C103" i="78"/>
  <c r="C121" i="78" s="1"/>
  <c r="C76" i="78"/>
  <c r="C118" i="78" s="1"/>
  <c r="C82" i="78"/>
  <c r="C84" i="78" s="1"/>
  <c r="C119" i="78" s="1"/>
  <c r="B58" i="78"/>
  <c r="C90" i="78"/>
  <c r="C120" i="78" s="1"/>
  <c r="C103" i="72"/>
  <c r="C121" i="72" s="1"/>
  <c r="C112" i="77"/>
  <c r="C114" i="77" s="1"/>
  <c r="C122" i="77" s="1"/>
  <c r="C103" i="77"/>
  <c r="C121" i="77" s="1"/>
  <c r="C76" i="77"/>
  <c r="C118" i="77" s="1"/>
  <c r="C82" i="77"/>
  <c r="C84" i="77" s="1"/>
  <c r="C119" i="77" s="1"/>
  <c r="B58" i="77"/>
  <c r="C76" i="72"/>
  <c r="C118" i="72" s="1"/>
  <c r="B58" i="72"/>
  <c r="C123" i="79" l="1"/>
  <c r="C125" i="79" s="1"/>
  <c r="E5" i="71" s="1"/>
  <c r="F5" i="71" s="1"/>
  <c r="G5" i="71" s="1"/>
  <c r="C123" i="78"/>
  <c r="C125" i="78" s="1"/>
  <c r="E7" i="71" s="1"/>
  <c r="F7" i="71" s="1"/>
  <c r="G7" i="71" s="1"/>
  <c r="C123" i="77"/>
  <c r="C125" i="77" s="1"/>
  <c r="E6" i="71" s="1"/>
  <c r="F6" i="71" s="1"/>
  <c r="G6" i="71" s="1"/>
  <c r="C123" i="72"/>
  <c r="C63" i="72" l="1"/>
  <c r="B62" i="72"/>
  <c r="B63" i="72" s="1"/>
  <c r="C125" i="72" l="1"/>
  <c r="E4" i="71" s="1"/>
  <c r="F4" i="71" s="1"/>
  <c r="F8" i="71" l="1"/>
  <c r="G4" i="71"/>
  <c r="G8" i="71" s="1"/>
  <c r="F21" i="71" l="1"/>
  <c r="F22" i="71"/>
  <c r="G22" i="71" l="1"/>
  <c r="E30" i="71"/>
  <c r="F24" i="71"/>
  <c r="G24" i="71" s="1"/>
  <c r="F25" i="71"/>
  <c r="G25" i="71" s="1"/>
  <c r="F23" i="71"/>
  <c r="G23" i="71" s="1"/>
  <c r="G21" i="71"/>
  <c r="F30" i="71" l="1"/>
  <c r="G26" i="71"/>
  <c r="F26" i="7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Antônio Cláudio Ferreira Sciortino</author>
  </authors>
  <commentList>
    <comment ref="B32" authorId="0" shapeId="0" xr:uid="{A579CA79-CFDD-42D4-BD7F-232457172564}">
      <text>
        <r>
          <rPr>
            <b/>
            <sz val="9"/>
            <color indexed="81"/>
            <rFont val="Segoe UI"/>
            <family val="2"/>
          </rPr>
          <t>Relativo a feriados.</t>
        </r>
        <r>
          <rPr>
            <sz val="9"/>
            <color indexed="81"/>
            <rFont val="Segoe UI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Antônio Cláudio Ferreira Sciortino</author>
  </authors>
  <commentList>
    <comment ref="B32" authorId="0" shapeId="0" xr:uid="{3F035668-1A1A-44BB-A9FC-2DC7D8E68022}">
      <text>
        <r>
          <rPr>
            <b/>
            <sz val="9"/>
            <color indexed="81"/>
            <rFont val="Segoe UI"/>
            <family val="2"/>
          </rPr>
          <t>Relativo a feriados.</t>
        </r>
        <r>
          <rPr>
            <sz val="9"/>
            <color indexed="81"/>
            <rFont val="Segoe UI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Antônio Cláudio Ferreira Sciortino</author>
  </authors>
  <commentList>
    <comment ref="B32" authorId="0" shapeId="0" xr:uid="{3B6A6818-5275-4676-8C59-A856076861C3}">
      <text>
        <r>
          <rPr>
            <b/>
            <sz val="9"/>
            <color indexed="81"/>
            <rFont val="Segoe UI"/>
            <family val="2"/>
          </rPr>
          <t>Relativo a feriados.</t>
        </r>
        <r>
          <rPr>
            <sz val="9"/>
            <color indexed="81"/>
            <rFont val="Segoe UI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Antônio Cláudio Ferreira Sciortino</author>
  </authors>
  <commentList>
    <comment ref="B32" authorId="0" shapeId="0" xr:uid="{67BAF039-8E70-4A2E-B809-F048241290E5}">
      <text>
        <r>
          <rPr>
            <b/>
            <sz val="9"/>
            <color indexed="81"/>
            <rFont val="Segoe UI"/>
            <family val="2"/>
          </rPr>
          <t>Relativo a feriados.</t>
        </r>
        <r>
          <rPr>
            <sz val="9"/>
            <color indexed="81"/>
            <rFont val="Segoe UI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<sst xmlns="http://schemas.openxmlformats.org/spreadsheetml/2006/main" count="595" uniqueCount="152">
  <si>
    <t>OBJETO DA LICITAÇÃO:</t>
  </si>
  <si>
    <t>Horário de trabalho</t>
  </si>
  <si>
    <t>DIURNO</t>
  </si>
  <si>
    <t>Qtd de dias de trabalho na semana</t>
  </si>
  <si>
    <t>Média de dias trabalhados por empregado no mês</t>
  </si>
  <si>
    <t>Quantidade horas noturnas</t>
  </si>
  <si>
    <t xml:space="preserve">Quantidade horas diurnas </t>
  </si>
  <si>
    <t>Quantidade horas diárias no posto</t>
  </si>
  <si>
    <t>POSTO</t>
  </si>
  <si>
    <t>Intervalo Intrajornada (Será concedido? sim/não)</t>
  </si>
  <si>
    <t xml:space="preserve">Número de meses da execucao contratual </t>
  </si>
  <si>
    <t>Categoria Profissional</t>
  </si>
  <si>
    <t>CBO</t>
  </si>
  <si>
    <t>Registro da CCT no MTE:</t>
  </si>
  <si>
    <t>Data base da categoria</t>
  </si>
  <si>
    <t>Valor do salário normativo</t>
  </si>
  <si>
    <t>Custo Unitário Transporte</t>
  </si>
  <si>
    <t>% Descontado do empregado transporte CCT</t>
  </si>
  <si>
    <t>Quantidade de vale transporte mês</t>
  </si>
  <si>
    <t>Custo Unitário Alimentação/Lanche CCT</t>
  </si>
  <si>
    <t>% Descontado do empregado alimentação CCT</t>
  </si>
  <si>
    <t>Quantidade de vale alimentação mês</t>
  </si>
  <si>
    <t xml:space="preserve">2.3. Custo Unitário Assistencia médica </t>
  </si>
  <si>
    <t>2.4. Custo Unitário PLANO DE BENEFÍCIO FAMILIAR</t>
  </si>
  <si>
    <t>2.5. Custo Unitário Exames médicos/laudos segurança do trabalho</t>
  </si>
  <si>
    <t>1.3. Adicional Noturno</t>
  </si>
  <si>
    <t>1.5. Adicional Insalubridade</t>
  </si>
  <si>
    <t>1.6. Gratificação de Função</t>
  </si>
  <si>
    <t>VALORES PARA UM EMPREGADO</t>
  </si>
  <si>
    <t>Limite de horas mensais com RSR</t>
  </si>
  <si>
    <t>Horas de trabalho no mês com RSR</t>
  </si>
  <si>
    <t xml:space="preserve">Quantidade horas extras </t>
  </si>
  <si>
    <t>Salário hora</t>
  </si>
  <si>
    <t>Salário hora com insalubridade</t>
  </si>
  <si>
    <t xml:space="preserve">Hora adicional noturno </t>
  </si>
  <si>
    <t>PLANILHA DE CUSTOS</t>
  </si>
  <si>
    <t>MÓDULO 1: COMPOSIÇÃO DA REMUNERAÇÃO</t>
  </si>
  <si>
    <t>REMUNERAÇÃO</t>
  </si>
  <si>
    <t>%</t>
  </si>
  <si>
    <t>VALOR</t>
  </si>
  <si>
    <t>1.1. Salário Base</t>
  </si>
  <si>
    <t>1.2. Hora extra</t>
  </si>
  <si>
    <t>1.4. Hora Noturna Reduzida</t>
  </si>
  <si>
    <t>1.8. RSR s/ Adicional Noturno, Hora Noturna Reduzida</t>
  </si>
  <si>
    <t>TOTAL DA REMUNERAÇÃO</t>
  </si>
  <si>
    <t>TOTAL DO MÓDULO 1</t>
  </si>
  <si>
    <t>MÓDULO 2: BENEFÍCIOS MENSAIS E DIÁRIOS</t>
  </si>
  <si>
    <t>BENEFÍCIOS</t>
  </si>
  <si>
    <t>% sobre remuneração</t>
  </si>
  <si>
    <t>2.1. Vale-transporte</t>
  </si>
  <si>
    <t>2.2. Auxílio alimentação/Cesta básica/Vale Lanche</t>
  </si>
  <si>
    <t>2.3. Assistencia médica</t>
  </si>
  <si>
    <t>2.4. Plano de Benefício Familiar</t>
  </si>
  <si>
    <t>2.5. Exames médicos/ Laudos segurança do trabalho</t>
  </si>
  <si>
    <t>TOTAL DO MÓDULO 2</t>
  </si>
  <si>
    <t>MÓDULO 3: INSUMOS DIVERSOS</t>
  </si>
  <si>
    <t>3.1. Uniforme/EPI</t>
  </si>
  <si>
    <t>TOTAL DO MÓDULO 3</t>
  </si>
  <si>
    <t>MÓDULO 4: ENCARGOS SOCIAIS E TRABALHISTAS</t>
  </si>
  <si>
    <t>SUBMÓDULO 4.1 Encargos Previdenciários e FGTS</t>
  </si>
  <si>
    <t>Rubrica</t>
  </si>
  <si>
    <t>4.1.1. INSS</t>
  </si>
  <si>
    <t>4.1.2. SESI/SESC</t>
  </si>
  <si>
    <t>4.1.3. INCRA</t>
  </si>
  <si>
    <t>4.1.4. SENAI/SENAC</t>
  </si>
  <si>
    <t>4.1.5. Salário Educação</t>
  </si>
  <si>
    <t>4.1.7. FGTS</t>
  </si>
  <si>
    <t>4.1.8. SEBRAE</t>
  </si>
  <si>
    <t>TOTAL DO SUBMÓDULO 4.1</t>
  </si>
  <si>
    <t>SUBMÓDULO 4.2: 13º SALÁRIO E ADICIONAL DE FÉRIAS</t>
  </si>
  <si>
    <t>4.2.1. Adicional de Férias</t>
  </si>
  <si>
    <t>4.2.2. 13º salário</t>
  </si>
  <si>
    <t>Subtotal</t>
  </si>
  <si>
    <t>4.2.3. Incidência do submódulo 4.1 sobre 13º salário e adicional de férias</t>
  </si>
  <si>
    <t>TOTAL DO SUBMÓDULO 4.2</t>
  </si>
  <si>
    <t>SUBMÓDULO 4.3:  AFASTAMENTO MATERNIDADE</t>
  </si>
  <si>
    <t>4.3.1. Licença Maternidade</t>
  </si>
  <si>
    <t>4.3.2. Incidência do 4.1 sobre afastamento maternidade</t>
  </si>
  <si>
    <t>TOTAL DO SUBMÓDULO 4.3</t>
  </si>
  <si>
    <t>SUBMÓDULO 4.4: PROVISÃO PARA RESCISÃO</t>
  </si>
  <si>
    <t>4.4.1. Aviso Prévio Indenizado</t>
  </si>
  <si>
    <t>4.4.2. FGTS (4.1.7) sobre 4.4.1</t>
  </si>
  <si>
    <t>4.4.3. Multa do FGTS sobre 4.4.1</t>
  </si>
  <si>
    <t>4.4.4. Multa FGTS - Rescisão sem justa causa</t>
  </si>
  <si>
    <t>4.4.5. Aviso Prévio Trabalhado</t>
  </si>
  <si>
    <t>4.4.6. Aviso Prévio Final Contrato</t>
  </si>
  <si>
    <t>4.4.7. Incidência 4.1 sobre 4.4.5 e 4.4.6</t>
  </si>
  <si>
    <t>4.4.8. Multa do FGTS (4.1.7) sobre 4.4.5</t>
  </si>
  <si>
    <t>4.4.9. Indenização Adicional</t>
  </si>
  <si>
    <t>TOTAL  DO SUBMÓDULO 4.4</t>
  </si>
  <si>
    <t>SUBMÓDULO 4.5: CUSTO DE REPOSIÇÃO DE PROFISSIONAL AUSENTE</t>
  </si>
  <si>
    <t>4.5.1. Férias</t>
  </si>
  <si>
    <t>4.5.2. Ausência por Doença</t>
  </si>
  <si>
    <t>4.5.3. Licença Paternidade</t>
  </si>
  <si>
    <t>4.5.4. Ausências Legais</t>
  </si>
  <si>
    <t>4.5.5. Ausência por Acidente do Trabalho</t>
  </si>
  <si>
    <t>SUBTOTAL</t>
  </si>
  <si>
    <t>4.5.7. Incid. 4.1 s/ custo reposição profissional ausente</t>
  </si>
  <si>
    <t>TOTAL  DO GRUPO 4.5</t>
  </si>
  <si>
    <t>QUADRO RESUMO MÓDULO 4: ENCARGOS SOCIAIS E TRABALHISTAS</t>
  </si>
  <si>
    <t>RESUMO 4</t>
  </si>
  <si>
    <t>4.1. Encargos Previdenciários e FGTS</t>
  </si>
  <si>
    <t>4.2. 13º Salário e Adicional de Férias</t>
  </si>
  <si>
    <t>4.3. Afastamento  Maternidade</t>
  </si>
  <si>
    <t>4.4. Provisão para rescisão</t>
  </si>
  <si>
    <t>4.5. Custo de Reposição Profissional Ausente</t>
  </si>
  <si>
    <t>TOTAL DO MÓDULO 4</t>
  </si>
  <si>
    <t>VALOR  DOS CUSTOS DIRETOS</t>
  </si>
  <si>
    <t>MÓD1 + MÓD2 + MÓD3 + MÓD4</t>
  </si>
  <si>
    <t>COFINS</t>
  </si>
  <si>
    <t>ISS</t>
  </si>
  <si>
    <t>Valor mensal</t>
  </si>
  <si>
    <t>Total Mão de Obra</t>
  </si>
  <si>
    <t>Total</t>
  </si>
  <si>
    <t>Despesas Administrativa</t>
  </si>
  <si>
    <t>Lucro</t>
  </si>
  <si>
    <t>PIS</t>
  </si>
  <si>
    <t>Jornada Semanal</t>
  </si>
  <si>
    <t>Cargo</t>
  </si>
  <si>
    <t>TOTAL CITL</t>
  </si>
  <si>
    <t>Número de Funcionários Estimados</t>
  </si>
  <si>
    <t>Valor Unitário do Cargo</t>
  </si>
  <si>
    <t>Valor Mensal</t>
  </si>
  <si>
    <t>A</t>
  </si>
  <si>
    <t>Sim</t>
  </si>
  <si>
    <t>SINDASSEIO</t>
  </si>
  <si>
    <t>LIMPADOR ALPINISTA</t>
  </si>
  <si>
    <t>SUPERVISOR</t>
  </si>
  <si>
    <t>MÓDULO 6: CUSTOS INDIRETOS, TRIBUTOS E LUCRO (SL, LA e SU)</t>
  </si>
  <si>
    <t>Materiais - Servente Limpeza</t>
  </si>
  <si>
    <t>Equipamentos - Servente Limpeza</t>
  </si>
  <si>
    <t>Materiais - Limpador Alpinista</t>
  </si>
  <si>
    <t>Equipamentos - Limpador Alpinista</t>
  </si>
  <si>
    <t>Materiais - Supervisor</t>
  </si>
  <si>
    <t>Equipamentos - Supervisor</t>
  </si>
  <si>
    <t>Equipamentos Locados - Limpador Alpinista</t>
  </si>
  <si>
    <t>MÓDULO 5: RESUMO MATERIAIS E EQUIPAMENTOS</t>
  </si>
  <si>
    <t>Insalubridade</t>
  </si>
  <si>
    <t>SERVENTE</t>
  </si>
  <si>
    <t>LIMPADOR</t>
  </si>
  <si>
    <t>RESUMO: VALOR MÁXIMO</t>
  </si>
  <si>
    <t>RS000044/2023</t>
  </si>
  <si>
    <t>PROCESSO SEI 129.00014/2023-91</t>
  </si>
  <si>
    <t>44 Horas</t>
  </si>
  <si>
    <t>CBO - 5143</t>
  </si>
  <si>
    <t>4.1.6. R.A.T.  (RAT 2,00  x FAP 0,5)</t>
  </si>
  <si>
    <t>Aux.Serv.Gerais</t>
  </si>
  <si>
    <t>AUX. SERVIÇOS GERIAS</t>
  </si>
  <si>
    <t xml:space="preserve">CBO </t>
  </si>
  <si>
    <t>Valor Anual</t>
  </si>
  <si>
    <t>TOTAL FINAL</t>
  </si>
  <si>
    <t>Valor Contratual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</si>
</sst>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-&quot;R$&quot;\ * #,##0.00_-;\-&quot;R$&quot;\ * #,##0.00_-;_-&quot;R$&quot;\ * &quot;-&quot;??_-;_-@_-"/>
    <numFmt numFmtId="164" formatCode="_(* #,##0.00_);_(* \(#,##0.00\);_(* &quot;-&quot;??_);_(@_)"/>
    <numFmt numFmtId="165" formatCode="_(&quot;R$&quot;* #,##0.00_);_(&quot;R$&quot;* \(#,##0.00\);_(&quot;R$&quot;* &quot;-&quot;??_);_(@_)"/>
    <numFmt numFmtId="166" formatCode="#,##0.00;[Red]#,##0.00"/>
    <numFmt numFmtId="167" formatCode="0\ &quot;horas&quot;"/>
    <numFmt numFmtId="168" formatCode="0\ &quot;dias&quot;"/>
    <numFmt numFmtId="169" formatCode="0\ &quot;Horas&quot;"/>
    <numFmt numFmtId="170" formatCode="0\ &quot;meses&quot;"/>
    <numFmt numFmtId="171" formatCode="0.0%"/>
  </numFmts>
  <fonts count="12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0"/>
      <name val="Arial"/>
    </font>
  </fonts>
  <fills count="1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31"/>
      </patternFill>
    </fill>
    <fill>
      <patternFill patternType="solid">
        <fgColor indexed="5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1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15">
    <xf numFmtId="0" fontId="0" fillId="0" borderId="0"/>
    <xf numFmtId="165" fontId="3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3" fillId="0" borderId="0"/>
    <xf numFmtId="0" fontId="5" fillId="0" borderId="0"/>
    <xf numFmtId="0" fontId="9" fillId="0" borderId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6" fillId="0" borderId="0" applyFont="0" applyFill="0" applyBorder="0" applyAlignment="0" applyProtection="0"/>
    <xf numFmtId="44" fontId="11" fillId="0" borderId="0" applyFont="0" applyFill="0" applyBorder="0" applyAlignment="0" applyProtection="0"/>
  </cellStyleXfs>
  <cellXfs count="119">
    <xf numFmtId="0" fontId="0" fillId="0" borderId="0" xfId="0"/>
    <xf numFmtId="10" fontId="3" fillId="2" borderId="1" xfId="0" applyNumberFormat="1" applyFont="1" applyFill="1" applyBorder="1" applyAlignment="1">
      <alignment vertical="center"/>
    </xf>
    <xf numFmtId="10" fontId="3" fillId="2" borderId="1" xfId="0" applyNumberFormat="1" applyFont="1" applyFill="1" applyBorder="1"/>
    <xf numFmtId="10" fontId="2" fillId="2" borderId="1" xfId="0" applyNumberFormat="1" applyFont="1" applyFill="1" applyBorder="1"/>
    <xf numFmtId="10" fontId="2" fillId="2" borderId="1" xfId="0" applyNumberFormat="1" applyFont="1" applyFill="1" applyBorder="1" applyAlignment="1">
      <alignment vertical="center"/>
    </xf>
    <xf numFmtId="10" fontId="3" fillId="2" borderId="1" xfId="0" applyNumberFormat="1" applyFont="1" applyFill="1" applyBorder="1" applyAlignment="1">
      <alignment horizontal="right" vertical="center"/>
    </xf>
    <xf numFmtId="0" fontId="0" fillId="2" borderId="0" xfId="0" applyFill="1"/>
    <xf numFmtId="0" fontId="2" fillId="2" borderId="1" xfId="0" applyFont="1" applyFill="1" applyBorder="1" applyAlignment="1">
      <alignment horizontal="center" vertical="center" wrapText="1"/>
    </xf>
    <xf numFmtId="4" fontId="2" fillId="2" borderId="1" xfId="0" applyNumberFormat="1" applyFont="1" applyFill="1" applyBorder="1"/>
    <xf numFmtId="4" fontId="3" fillId="2" borderId="1" xfId="0" applyNumberFormat="1" applyFont="1" applyFill="1" applyBorder="1"/>
    <xf numFmtId="4" fontId="3" fillId="2" borderId="1" xfId="0" applyNumberFormat="1" applyFont="1" applyFill="1" applyBorder="1" applyAlignment="1">
      <alignment vertical="center"/>
    </xf>
    <xf numFmtId="4" fontId="0" fillId="2" borderId="0" xfId="0" applyNumberFormat="1" applyFill="1"/>
    <xf numFmtId="0" fontId="3" fillId="2" borderId="1" xfId="0" applyFont="1" applyFill="1" applyBorder="1"/>
    <xf numFmtId="0" fontId="2" fillId="2" borderId="1" xfId="0" applyFont="1" applyFill="1" applyBorder="1" applyAlignment="1">
      <alignment horizontal="center" vertical="center"/>
    </xf>
    <xf numFmtId="0" fontId="2" fillId="2" borderId="0" xfId="0" applyFont="1" applyFill="1"/>
    <xf numFmtId="0" fontId="3" fillId="2" borderId="0" xfId="0" applyFont="1" applyFill="1"/>
    <xf numFmtId="0" fontId="3" fillId="2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vertical="center" wrapText="1"/>
    </xf>
    <xf numFmtId="0" fontId="3" fillId="2" borderId="0" xfId="0" applyFont="1" applyFill="1" applyAlignment="1">
      <alignment wrapText="1"/>
    </xf>
    <xf numFmtId="0" fontId="3" fillId="2" borderId="0" xfId="0" applyFont="1" applyFill="1" applyAlignment="1">
      <alignment horizontal="center"/>
    </xf>
    <xf numFmtId="0" fontId="2" fillId="2" borderId="0" xfId="0" applyFont="1" applyFill="1" applyAlignment="1">
      <alignment horizontal="left"/>
    </xf>
    <xf numFmtId="166" fontId="2" fillId="2" borderId="0" xfId="0" applyNumberFormat="1" applyFont="1" applyFill="1" applyAlignment="1">
      <alignment horizontal="center" vertical="center"/>
    </xf>
    <xf numFmtId="166" fontId="3" fillId="2" borderId="0" xfId="0" applyNumberFormat="1" applyFont="1" applyFill="1" applyAlignment="1">
      <alignment vertical="center"/>
    </xf>
    <xf numFmtId="0" fontId="3" fillId="2" borderId="0" xfId="0" applyFont="1" applyFill="1" applyAlignment="1">
      <alignment vertical="center"/>
    </xf>
    <xf numFmtId="10" fontId="3" fillId="2" borderId="0" xfId="0" applyNumberFormat="1" applyFont="1" applyFill="1" applyAlignment="1">
      <alignment vertical="center"/>
    </xf>
    <xf numFmtId="0" fontId="2" fillId="2" borderId="0" xfId="0" applyFont="1" applyFill="1" applyAlignment="1">
      <alignment vertical="center"/>
    </xf>
    <xf numFmtId="10" fontId="3" fillId="2" borderId="0" xfId="0" applyNumberFormat="1" applyFont="1" applyFill="1"/>
    <xf numFmtId="166" fontId="3" fillId="2" borderId="0" xfId="0" applyNumberFormat="1" applyFont="1" applyFill="1"/>
    <xf numFmtId="166" fontId="2" fillId="2" borderId="0" xfId="0" applyNumberFormat="1" applyFont="1" applyFill="1" applyAlignment="1">
      <alignment vertical="center"/>
    </xf>
    <xf numFmtId="0" fontId="2" fillId="2" borderId="0" xfId="0" applyFont="1" applyFill="1" applyAlignment="1">
      <alignment horizontal="left" vertical="center"/>
    </xf>
    <xf numFmtId="164" fontId="3" fillId="2" borderId="0" xfId="10" applyFont="1" applyFill="1" applyBorder="1" applyAlignment="1" applyProtection="1">
      <alignment vertical="center"/>
    </xf>
    <xf numFmtId="0" fontId="3" fillId="2" borderId="0" xfId="0" applyFont="1" applyFill="1" applyAlignment="1">
      <alignment horizontal="left"/>
    </xf>
    <xf numFmtId="166" fontId="2" fillId="2" borderId="0" xfId="0" applyNumberFormat="1" applyFont="1" applyFill="1" applyAlignment="1">
      <alignment horizontal="center" vertical="center" wrapText="1"/>
    </xf>
    <xf numFmtId="166" fontId="2" fillId="2" borderId="1" xfId="0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vertical="center"/>
    </xf>
    <xf numFmtId="4" fontId="2" fillId="2" borderId="1" xfId="10" applyNumberFormat="1" applyFont="1" applyFill="1" applyBorder="1" applyProtection="1"/>
    <xf numFmtId="4" fontId="3" fillId="2" borderId="1" xfId="10" applyNumberFormat="1" applyFont="1" applyFill="1" applyBorder="1" applyAlignment="1" applyProtection="1">
      <alignment vertical="center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left"/>
    </xf>
    <xf numFmtId="0" fontId="2" fillId="2" borderId="1" xfId="0" applyFont="1" applyFill="1" applyBorder="1"/>
    <xf numFmtId="10" fontId="2" fillId="2" borderId="1" xfId="0" applyNumberFormat="1" applyFont="1" applyFill="1" applyBorder="1" applyAlignment="1">
      <alignment horizontal="center" vertical="center" wrapText="1"/>
    </xf>
    <xf numFmtId="166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166" fontId="2" fillId="2" borderId="1" xfId="0" applyNumberFormat="1" applyFont="1" applyFill="1" applyBorder="1" applyAlignment="1">
      <alignment horizontal="right" vertical="center"/>
    </xf>
    <xf numFmtId="10" fontId="2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wrapText="1"/>
    </xf>
    <xf numFmtId="0" fontId="3" fillId="2" borderId="1" xfId="0" applyFont="1" applyFill="1" applyBorder="1" applyAlignment="1">
      <alignment horizontal="left" wrapText="1"/>
    </xf>
    <xf numFmtId="0" fontId="2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justify" vertical="center"/>
    </xf>
    <xf numFmtId="4" fontId="3" fillId="2" borderId="1" xfId="0" applyNumberFormat="1" applyFont="1" applyFill="1" applyBorder="1" applyAlignment="1">
      <alignment horizontal="right" vertical="center"/>
    </xf>
    <xf numFmtId="10" fontId="2" fillId="2" borderId="1" xfId="6" applyNumberFormat="1" applyFont="1" applyFill="1" applyBorder="1" applyAlignment="1" applyProtection="1">
      <alignment horizontal="center" vertical="center"/>
    </xf>
    <xf numFmtId="167" fontId="3" fillId="2" borderId="1" xfId="0" applyNumberFormat="1" applyFont="1" applyFill="1" applyBorder="1" applyAlignment="1">
      <alignment horizontal="center"/>
    </xf>
    <xf numFmtId="39" fontId="3" fillId="2" borderId="1" xfId="10" applyNumberFormat="1" applyFont="1" applyFill="1" applyBorder="1" applyAlignment="1" applyProtection="1">
      <alignment horizontal="center"/>
    </xf>
    <xf numFmtId="0" fontId="2" fillId="2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center" vertical="center"/>
    </xf>
    <xf numFmtId="168" fontId="3" fillId="2" borderId="1" xfId="0" applyNumberFormat="1" applyFont="1" applyFill="1" applyBorder="1" applyAlignment="1">
      <alignment horizontal="center"/>
    </xf>
    <xf numFmtId="167" fontId="3" fillId="4" borderId="1" xfId="0" applyNumberFormat="1" applyFont="1" applyFill="1" applyBorder="1" applyAlignment="1">
      <alignment horizontal="center"/>
    </xf>
    <xf numFmtId="169" fontId="3" fillId="2" borderId="1" xfId="0" applyNumberFormat="1" applyFont="1" applyFill="1" applyBorder="1" applyAlignment="1">
      <alignment horizontal="center"/>
    </xf>
    <xf numFmtId="4" fontId="3" fillId="0" borderId="1" xfId="0" applyNumberFormat="1" applyFont="1" applyBorder="1"/>
    <xf numFmtId="0" fontId="3" fillId="2" borderId="2" xfId="0" applyFont="1" applyFill="1" applyBorder="1" applyAlignment="1" applyProtection="1">
      <alignment vertical="center" wrapText="1"/>
      <protection locked="0"/>
    </xf>
    <xf numFmtId="39" fontId="3" fillId="2" borderId="3" xfId="0" applyNumberFormat="1" applyFont="1" applyFill="1" applyBorder="1" applyAlignment="1" applyProtection="1">
      <alignment horizontal="center" wrapText="1"/>
      <protection locked="0"/>
    </xf>
    <xf numFmtId="10" fontId="2" fillId="7" borderId="1" xfId="0" applyNumberFormat="1" applyFont="1" applyFill="1" applyBorder="1" applyAlignment="1" applyProtection="1">
      <alignment horizontal="center" wrapText="1"/>
      <protection locked="0"/>
    </xf>
    <xf numFmtId="0" fontId="3" fillId="7" borderId="1" xfId="0" applyFont="1" applyFill="1" applyBorder="1" applyAlignment="1" applyProtection="1">
      <alignment horizontal="center" wrapText="1"/>
      <protection locked="0"/>
    </xf>
    <xf numFmtId="168" fontId="3" fillId="7" borderId="1" xfId="0" applyNumberFormat="1" applyFont="1" applyFill="1" applyBorder="1" applyAlignment="1" applyProtection="1">
      <alignment horizontal="center" wrapText="1"/>
      <protection locked="0"/>
    </xf>
    <xf numFmtId="167" fontId="3" fillId="7" borderId="1" xfId="0" applyNumberFormat="1" applyFont="1" applyFill="1" applyBorder="1" applyAlignment="1" applyProtection="1">
      <alignment horizontal="center" wrapText="1"/>
      <protection locked="0"/>
    </xf>
    <xf numFmtId="0" fontId="2" fillId="7" borderId="1" xfId="0" applyFont="1" applyFill="1" applyBorder="1" applyAlignment="1" applyProtection="1">
      <alignment horizontal="center" wrapText="1"/>
      <protection locked="0"/>
    </xf>
    <xf numFmtId="170" fontId="2" fillId="7" borderId="1" xfId="0" applyNumberFormat="1" applyFont="1" applyFill="1" applyBorder="1" applyAlignment="1" applyProtection="1">
      <alignment horizontal="center" wrapText="1"/>
      <protection locked="0"/>
    </xf>
    <xf numFmtId="4" fontId="3" fillId="7" borderId="1" xfId="0" applyNumberFormat="1" applyFont="1" applyFill="1" applyBorder="1" applyAlignment="1" applyProtection="1">
      <alignment horizontal="center" wrapText="1"/>
      <protection locked="0"/>
    </xf>
    <xf numFmtId="39" fontId="3" fillId="7" borderId="1" xfId="0" applyNumberFormat="1" applyFont="1" applyFill="1" applyBorder="1" applyAlignment="1" applyProtection="1">
      <alignment horizontal="center" wrapText="1"/>
      <protection locked="0"/>
    </xf>
    <xf numFmtId="9" fontId="3" fillId="8" borderId="1" xfId="0" applyNumberFormat="1" applyFont="1" applyFill="1" applyBorder="1" applyAlignment="1" applyProtection="1">
      <alignment horizontal="center" vertical="center" wrapText="1"/>
      <protection locked="0"/>
    </xf>
    <xf numFmtId="171" fontId="3" fillId="7" borderId="1" xfId="6" applyNumberFormat="1" applyFont="1" applyFill="1" applyBorder="1" applyAlignment="1" applyProtection="1">
      <alignment horizontal="center" wrapText="1"/>
      <protection locked="0"/>
    </xf>
    <xf numFmtId="10" fontId="3" fillId="7" borderId="1" xfId="0" applyNumberFormat="1" applyFont="1" applyFill="1" applyBorder="1" applyAlignment="1">
      <alignment horizontal="center" vertical="center"/>
    </xf>
    <xf numFmtId="0" fontId="3" fillId="9" borderId="0" xfId="0" applyFont="1" applyFill="1" applyAlignment="1">
      <alignment horizontal="center"/>
    </xf>
    <xf numFmtId="0" fontId="2" fillId="9" borderId="1" xfId="0" applyFont="1" applyFill="1" applyBorder="1" applyAlignment="1">
      <alignment horizontal="center" vertical="center" wrapText="1"/>
    </xf>
    <xf numFmtId="4" fontId="3" fillId="9" borderId="1" xfId="0" applyNumberFormat="1" applyFont="1" applyFill="1" applyBorder="1" applyAlignment="1">
      <alignment horizontal="right"/>
    </xf>
    <xf numFmtId="171" fontId="3" fillId="9" borderId="1" xfId="7" applyNumberFormat="1" applyFont="1" applyFill="1" applyBorder="1" applyAlignment="1">
      <alignment horizontal="center"/>
    </xf>
    <xf numFmtId="10" fontId="3" fillId="9" borderId="1" xfId="7" applyNumberFormat="1" applyFont="1" applyFill="1" applyBorder="1" applyAlignment="1">
      <alignment horizontal="center"/>
    </xf>
    <xf numFmtId="4" fontId="2" fillId="10" borderId="1" xfId="0" applyNumberFormat="1" applyFont="1" applyFill="1" applyBorder="1" applyAlignment="1">
      <alignment horizontal="right"/>
    </xf>
    <xf numFmtId="0" fontId="3" fillId="9" borderId="0" xfId="0" applyFont="1" applyFill="1"/>
    <xf numFmtId="0" fontId="2" fillId="9" borderId="0" xfId="0" applyFont="1" applyFill="1"/>
    <xf numFmtId="0" fontId="2" fillId="11" borderId="1" xfId="0" applyFont="1" applyFill="1" applyBorder="1" applyAlignment="1" applyProtection="1">
      <alignment horizontal="center" wrapText="1"/>
      <protection locked="0"/>
    </xf>
    <xf numFmtId="14" fontId="2" fillId="11" borderId="1" xfId="0" applyNumberFormat="1" applyFont="1" applyFill="1" applyBorder="1" applyAlignment="1" applyProtection="1">
      <alignment horizontal="center" wrapText="1"/>
      <protection locked="0"/>
    </xf>
    <xf numFmtId="0" fontId="3" fillId="9" borderId="1" xfId="0" applyFont="1" applyFill="1" applyBorder="1" applyAlignment="1">
      <alignment horizontal="center"/>
    </xf>
    <xf numFmtId="0" fontId="3" fillId="9" borderId="0" xfId="0" applyFont="1" applyFill="1" applyAlignment="1">
      <alignment wrapText="1"/>
    </xf>
    <xf numFmtId="0" fontId="2" fillId="9" borderId="0" xfId="0" applyFont="1" applyFill="1" applyAlignment="1">
      <alignment horizontal="center"/>
    </xf>
    <xf numFmtId="1" fontId="3" fillId="11" borderId="1" xfId="0" applyNumberFormat="1" applyFont="1" applyFill="1" applyBorder="1" applyAlignment="1">
      <alignment horizontal="center"/>
    </xf>
    <xf numFmtId="1" fontId="2" fillId="9" borderId="0" xfId="0" applyNumberFormat="1" applyFont="1" applyFill="1" applyAlignment="1">
      <alignment horizontal="center" vertical="center"/>
    </xf>
    <xf numFmtId="9" fontId="3" fillId="2" borderId="1" xfId="6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" fontId="2" fillId="5" borderId="1" xfId="0" applyNumberFormat="1" applyFont="1" applyFill="1" applyBorder="1" applyAlignment="1">
      <alignment horizontal="center" vertical="center"/>
    </xf>
    <xf numFmtId="4" fontId="2" fillId="5" borderId="1" xfId="0" applyNumberFormat="1" applyFont="1" applyFill="1" applyBorder="1" applyAlignment="1">
      <alignment vertical="center"/>
    </xf>
    <xf numFmtId="0" fontId="3" fillId="9" borderId="1" xfId="0" applyFont="1" applyFill="1" applyBorder="1"/>
    <xf numFmtId="4" fontId="2" fillId="2" borderId="0" xfId="0" applyNumberFormat="1" applyFont="1" applyFill="1"/>
    <xf numFmtId="0" fontId="2" fillId="6" borderId="1" xfId="0" applyFont="1" applyFill="1" applyBorder="1" applyAlignment="1">
      <alignment horizontal="center"/>
    </xf>
    <xf numFmtId="4" fontId="3" fillId="2" borderId="1" xfId="0" applyNumberFormat="1" applyFont="1" applyFill="1" applyBorder="1" applyAlignment="1">
      <alignment horizontal="right" vertical="center" wrapText="1"/>
    </xf>
    <xf numFmtId="4" fontId="3" fillId="9" borderId="1" xfId="0" applyNumberFormat="1" applyFont="1" applyFill="1" applyBorder="1" applyAlignment="1">
      <alignment horizontal="right" vertical="center"/>
    </xf>
    <xf numFmtId="4" fontId="3" fillId="14" borderId="1" xfId="0" applyNumberFormat="1" applyFont="1" applyFill="1" applyBorder="1" applyAlignment="1" applyProtection="1">
      <alignment horizontal="center" wrapText="1"/>
      <protection locked="0"/>
    </xf>
    <xf numFmtId="4" fontId="3" fillId="9" borderId="1" xfId="0" applyNumberFormat="1" applyFont="1" applyFill="1" applyBorder="1"/>
    <xf numFmtId="44" fontId="0" fillId="2" borderId="0" xfId="14" applyFont="1" applyFill="1"/>
    <xf numFmtId="0" fontId="2" fillId="10" borderId="1" xfId="0" applyFont="1" applyFill="1" applyBorder="1" applyAlignment="1">
      <alignment horizontal="center"/>
    </xf>
    <xf numFmtId="0" fontId="2" fillId="12" borderId="1" xfId="0" applyFont="1" applyFill="1" applyBorder="1" applyAlignment="1">
      <alignment horizontal="center"/>
    </xf>
    <xf numFmtId="0" fontId="2" fillId="9" borderId="0" xfId="0" applyFont="1" applyFill="1" applyAlignment="1">
      <alignment horizontal="left" vertical="top" wrapText="1"/>
    </xf>
    <xf numFmtId="0" fontId="2" fillId="5" borderId="1" xfId="0" applyFont="1" applyFill="1" applyBorder="1" applyAlignment="1">
      <alignment horizontal="center"/>
    </xf>
    <xf numFmtId="1" fontId="2" fillId="13" borderId="1" xfId="0" applyNumberFormat="1" applyFont="1" applyFill="1" applyBorder="1" applyAlignment="1">
      <alignment horizontal="center" vertical="center"/>
    </xf>
    <xf numFmtId="1" fontId="2" fillId="9" borderId="0" xfId="0" applyNumberFormat="1" applyFont="1" applyFill="1" applyAlignment="1">
      <alignment horizontal="center" vertical="center"/>
    </xf>
    <xf numFmtId="0" fontId="2" fillId="6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2" fillId="6" borderId="1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0" fontId="2" fillId="6" borderId="0" xfId="0" applyFont="1" applyFill="1" applyBorder="1" applyAlignment="1">
      <alignment horizontal="center"/>
    </xf>
    <xf numFmtId="1" fontId="2" fillId="9" borderId="1" xfId="0" applyNumberFormat="1" applyFont="1" applyFill="1" applyBorder="1" applyAlignment="1">
      <alignment horizontal="center" vertical="center"/>
    </xf>
    <xf numFmtId="1" fontId="2" fillId="9" borderId="1" xfId="0" applyNumberFormat="1" applyFont="1" applyFill="1" applyBorder="1" applyAlignment="1">
      <alignment horizontal="left" vertical="center"/>
    </xf>
    <xf numFmtId="4" fontId="10" fillId="0" borderId="1" xfId="0" applyNumberFormat="1" applyFont="1" applyFill="1" applyBorder="1" applyAlignment="1"/>
    <xf numFmtId="4" fontId="10" fillId="0" borderId="1" xfId="0" applyNumberFormat="1" applyFont="1" applyFill="1" applyBorder="1"/>
    <xf numFmtId="44" fontId="10" fillId="0" borderId="1" xfId="14" applyFont="1" applyFill="1" applyBorder="1" applyAlignment="1"/>
  </cellXfs>
  <cellStyles count="15">
    <cellStyle name="Moeda" xfId="14" builtinId="4"/>
    <cellStyle name="Moeda 2" xfId="1" xr:uid="{00000000-0005-0000-0000-000001000000}"/>
    <cellStyle name="Moeda 3" xfId="2" xr:uid="{00000000-0005-0000-0000-000002000000}"/>
    <cellStyle name="Normal" xfId="0" builtinId="0"/>
    <cellStyle name="Normal 2" xfId="3" xr:uid="{00000000-0005-0000-0000-000004000000}"/>
    <cellStyle name="Normal 2 2" xfId="4" xr:uid="{00000000-0005-0000-0000-000005000000}"/>
    <cellStyle name="Normal 3" xfId="5" xr:uid="{00000000-0005-0000-0000-000006000000}"/>
    <cellStyle name="Porcentagem" xfId="6" builtinId="5"/>
    <cellStyle name="Porcentagem 2" xfId="7" xr:uid="{00000000-0005-0000-0000-000008000000}"/>
    <cellStyle name="Porcentagem 3" xfId="8" xr:uid="{00000000-0005-0000-0000-000009000000}"/>
    <cellStyle name="Porcentagem 4" xfId="9" xr:uid="{00000000-0005-0000-0000-00000A000000}"/>
    <cellStyle name="Vírgula" xfId="10" builtinId="3"/>
    <cellStyle name="Vírgula 2" xfId="11" xr:uid="{00000000-0005-0000-0000-00000B000000}"/>
    <cellStyle name="Vírgula 3" xfId="12" xr:uid="{00000000-0005-0000-0000-00000C000000}"/>
    <cellStyle name="Vírgula 4" xfId="13" xr:uid="{00000000-0005-0000-0000-00000D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\Desktop\Editais\Em%20andamento\03-07-2023%20CMPA%20Limpeza\Lista%20de%20Material%20V&#193;LIDA%20essa%20esta%20interligada%20na%20planilh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\Desktop\Editais\Em%20andamento\03-07-2023%20CMPA%20Limpeza\Lista%20de%20Material%20V&#193;LID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PI"/>
      <sheetName val="Insumos"/>
    </sheetNames>
    <sheetDataSet>
      <sheetData sheetId="0">
        <row r="7">
          <cell r="E7">
            <v>193.75</v>
          </cell>
        </row>
      </sheetData>
      <sheetData sheetId="1">
        <row r="10">
          <cell r="E10">
            <v>310.79999999999995</v>
          </cell>
        </row>
        <row r="49">
          <cell r="E49">
            <v>9356.75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PI"/>
      <sheetName val="Insumos"/>
    </sheetNames>
    <sheetDataSet>
      <sheetData sheetId="0" refreshError="1"/>
      <sheetData sheetId="1" refreshError="1">
        <row r="10">
          <cell r="E10">
            <v>310.79999999999995</v>
          </cell>
        </row>
        <row r="58">
          <cell r="E58">
            <v>52.6</v>
          </cell>
        </row>
        <row r="77">
          <cell r="E77">
            <v>43.877499999999998</v>
          </cell>
        </row>
        <row r="84">
          <cell r="E84">
            <v>145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781AA6-FD8F-4C96-91D9-9175255681BF}">
  <dimension ref="A1:J32"/>
  <sheetViews>
    <sheetView tabSelected="1" workbookViewId="0">
      <selection activeCell="H32" sqref="H32"/>
    </sheetView>
  </sheetViews>
  <sheetFormatPr defaultRowHeight="12.75" x14ac:dyDescent="0.2"/>
  <cols>
    <col min="1" max="1" width="23.7109375" style="6" bestFit="1" customWidth="1"/>
    <col min="2" max="2" width="15.28515625" style="6" customWidth="1"/>
    <col min="3" max="3" width="15.28515625" style="6" bestFit="1" customWidth="1"/>
    <col min="4" max="4" width="22.7109375" style="6" customWidth="1"/>
    <col min="5" max="5" width="23.85546875" style="6" customWidth="1"/>
    <col min="6" max="6" width="23" style="6" customWidth="1"/>
    <col min="7" max="7" width="25.28515625" style="102" customWidth="1"/>
    <col min="8" max="8" width="11.7109375" style="6" bestFit="1" customWidth="1"/>
    <col min="9" max="16384" width="9.140625" style="6"/>
  </cols>
  <sheetData>
    <row r="1" spans="1:10" x14ac:dyDescent="0.2">
      <c r="A1" s="112" t="s">
        <v>142</v>
      </c>
      <c r="B1" s="113"/>
      <c r="C1" s="113"/>
      <c r="D1" s="113"/>
      <c r="E1" s="113"/>
      <c r="F1" s="113"/>
      <c r="G1" s="113"/>
    </row>
    <row r="2" spans="1:10" x14ac:dyDescent="0.2">
      <c r="A2" s="112" t="s">
        <v>140</v>
      </c>
      <c r="B2" s="113"/>
      <c r="C2" s="113"/>
      <c r="D2" s="113"/>
      <c r="E2" s="113"/>
      <c r="F2" s="113"/>
      <c r="G2" s="113"/>
    </row>
    <row r="3" spans="1:10" ht="50.1" customHeight="1" x14ac:dyDescent="0.2">
      <c r="A3" s="90" t="s">
        <v>118</v>
      </c>
      <c r="B3" s="91" t="s">
        <v>137</v>
      </c>
      <c r="C3" s="92" t="s">
        <v>117</v>
      </c>
      <c r="D3" s="7" t="s">
        <v>120</v>
      </c>
      <c r="E3" s="7" t="s">
        <v>121</v>
      </c>
      <c r="F3" s="7" t="s">
        <v>122</v>
      </c>
      <c r="G3" s="7" t="s">
        <v>149</v>
      </c>
    </row>
    <row r="4" spans="1:10" ht="15" customHeight="1" x14ac:dyDescent="0.2">
      <c r="A4" s="39" t="s">
        <v>138</v>
      </c>
      <c r="B4" s="89">
        <v>0.4</v>
      </c>
      <c r="C4" s="59">
        <v>44</v>
      </c>
      <c r="D4" s="87">
        <v>28</v>
      </c>
      <c r="E4" s="60">
        <f>'Servente Limpeza 40%'!C125</f>
        <v>3826.4501397849463</v>
      </c>
      <c r="F4" s="60">
        <f>D4*E4</f>
        <v>107140.6039139785</v>
      </c>
      <c r="G4" s="60">
        <f>F4*12</f>
        <v>1285687.246967742</v>
      </c>
      <c r="H4" s="11"/>
      <c r="I4" s="11"/>
    </row>
    <row r="5" spans="1:10" ht="15" customHeight="1" x14ac:dyDescent="0.2">
      <c r="A5" s="39" t="s">
        <v>147</v>
      </c>
      <c r="B5" s="89">
        <v>0.2</v>
      </c>
      <c r="C5" s="59" t="s">
        <v>143</v>
      </c>
      <c r="D5" s="87">
        <v>2</v>
      </c>
      <c r="E5" s="60">
        <f>'Aux.Serv.Gerais'!C125</f>
        <v>3360.2421397849462</v>
      </c>
      <c r="F5" s="60">
        <f>D5*E5</f>
        <v>6720.4842795698924</v>
      </c>
      <c r="G5" s="60">
        <f>F5*12</f>
        <v>80645.811354838705</v>
      </c>
      <c r="H5" s="11"/>
      <c r="I5" s="11"/>
    </row>
    <row r="6" spans="1:10" ht="15" customHeight="1" x14ac:dyDescent="0.2">
      <c r="A6" s="39" t="s">
        <v>126</v>
      </c>
      <c r="B6" s="89">
        <v>0.2</v>
      </c>
      <c r="C6" s="59">
        <v>44</v>
      </c>
      <c r="D6" s="87">
        <v>1</v>
      </c>
      <c r="E6" s="60">
        <f>'Limpador Alpinista'!C125</f>
        <v>4087.6178064516134</v>
      </c>
      <c r="F6" s="60">
        <f t="shared" ref="F6:F7" si="0">D6*E6</f>
        <v>4087.6178064516134</v>
      </c>
      <c r="G6" s="60">
        <f>F6*12</f>
        <v>49051.413677419361</v>
      </c>
      <c r="H6" s="11"/>
      <c r="I6" s="11"/>
    </row>
    <row r="7" spans="1:10" ht="15" customHeight="1" x14ac:dyDescent="0.2">
      <c r="A7" s="39" t="s">
        <v>127</v>
      </c>
      <c r="B7" s="89">
        <v>0.4</v>
      </c>
      <c r="C7" s="59">
        <v>44</v>
      </c>
      <c r="D7" s="87">
        <v>1</v>
      </c>
      <c r="E7" s="60">
        <f>Supervisor!C125</f>
        <v>4285.8284999999996</v>
      </c>
      <c r="F7" s="60">
        <f t="shared" si="0"/>
        <v>4285.8284999999996</v>
      </c>
      <c r="G7" s="60">
        <f>F7*12</f>
        <v>51429.941999999995</v>
      </c>
      <c r="H7" s="11"/>
      <c r="I7" s="11"/>
    </row>
    <row r="8" spans="1:10" ht="15" customHeight="1" x14ac:dyDescent="0.2">
      <c r="A8" s="106" t="s">
        <v>112</v>
      </c>
      <c r="B8" s="106"/>
      <c r="C8" s="106"/>
      <c r="D8" s="93">
        <f>SUM(D4:D7)</f>
        <v>32</v>
      </c>
      <c r="E8" s="93"/>
      <c r="F8" s="94">
        <f>SUM(F4:F7)</f>
        <v>122234.53450000001</v>
      </c>
      <c r="G8" s="94">
        <f>SUM(G4:G7)</f>
        <v>1466814.4140000001</v>
      </c>
    </row>
    <row r="9" spans="1:10" ht="15" customHeight="1" x14ac:dyDescent="0.2">
      <c r="A9" s="86"/>
      <c r="B9" s="86"/>
      <c r="C9" s="86"/>
      <c r="D9" s="107" t="s">
        <v>136</v>
      </c>
      <c r="E9" s="107"/>
      <c r="F9" s="107"/>
      <c r="G9" s="107"/>
      <c r="H9" s="108"/>
      <c r="I9" s="108"/>
      <c r="J9" s="108"/>
    </row>
    <row r="10" spans="1:10" ht="15" customHeight="1" x14ac:dyDescent="0.2">
      <c r="A10" s="86"/>
      <c r="B10" s="86"/>
      <c r="C10" s="86"/>
      <c r="D10" s="114"/>
      <c r="E10" s="114"/>
      <c r="F10" s="7" t="s">
        <v>122</v>
      </c>
      <c r="G10" s="7" t="s">
        <v>149</v>
      </c>
      <c r="H10" s="88"/>
      <c r="I10" s="88"/>
      <c r="J10" s="88"/>
    </row>
    <row r="11" spans="1:10" ht="15" customHeight="1" x14ac:dyDescent="0.2">
      <c r="A11" s="86"/>
      <c r="B11" s="86"/>
      <c r="C11" s="86"/>
      <c r="D11" s="115" t="s">
        <v>129</v>
      </c>
      <c r="E11" s="115"/>
      <c r="F11" s="98">
        <f>[1]Insumos!$E$49</f>
        <v>9356.75</v>
      </c>
      <c r="G11" s="60">
        <f>F11*12</f>
        <v>112281</v>
      </c>
      <c r="H11" s="88"/>
      <c r="I11" s="88"/>
      <c r="J11" s="88"/>
    </row>
    <row r="12" spans="1:10" ht="15" customHeight="1" x14ac:dyDescent="0.2">
      <c r="A12" s="86"/>
      <c r="B12" s="86"/>
      <c r="C12" s="86"/>
      <c r="D12" s="115" t="s">
        <v>130</v>
      </c>
      <c r="E12" s="115"/>
      <c r="F12" s="98">
        <f>[2]Insumos!$E$77</f>
        <v>43.877499999999998</v>
      </c>
      <c r="G12" s="60">
        <f t="shared" ref="G12:G17" si="1">F12*12</f>
        <v>526.53</v>
      </c>
      <c r="H12" s="88"/>
      <c r="I12" s="88"/>
      <c r="J12" s="88"/>
    </row>
    <row r="13" spans="1:10" ht="15" customHeight="1" x14ac:dyDescent="0.2">
      <c r="A13" s="86"/>
      <c r="B13" s="86"/>
      <c r="C13" s="86"/>
      <c r="D13" s="115" t="s">
        <v>131</v>
      </c>
      <c r="E13" s="115"/>
      <c r="F13" s="98">
        <f>[2]Insumos!$E$58</f>
        <v>52.6</v>
      </c>
      <c r="G13" s="60">
        <f t="shared" si="1"/>
        <v>631.20000000000005</v>
      </c>
      <c r="H13" s="88"/>
      <c r="I13" s="88"/>
      <c r="J13" s="88"/>
    </row>
    <row r="14" spans="1:10" ht="15" customHeight="1" x14ac:dyDescent="0.2">
      <c r="A14" s="86"/>
      <c r="B14" s="86"/>
      <c r="C14" s="86"/>
      <c r="D14" s="115" t="s">
        <v>132</v>
      </c>
      <c r="E14" s="115"/>
      <c r="F14" s="98">
        <v>12</v>
      </c>
      <c r="G14" s="60">
        <f t="shared" si="1"/>
        <v>144</v>
      </c>
      <c r="H14" s="88"/>
      <c r="I14" s="88"/>
      <c r="J14" s="88"/>
    </row>
    <row r="15" spans="1:10" ht="15" customHeight="1" x14ac:dyDescent="0.2">
      <c r="A15" s="86"/>
      <c r="B15" s="86"/>
      <c r="C15" s="86"/>
      <c r="D15" s="115" t="s">
        <v>135</v>
      </c>
      <c r="E15" s="115"/>
      <c r="F15" s="98">
        <f>[2]Insumos!$E$84</f>
        <v>145</v>
      </c>
      <c r="G15" s="60">
        <f t="shared" si="1"/>
        <v>1740</v>
      </c>
      <c r="H15" s="88"/>
      <c r="I15" s="88"/>
      <c r="J15" s="88"/>
    </row>
    <row r="16" spans="1:10" ht="15" customHeight="1" x14ac:dyDescent="0.2">
      <c r="A16" s="86"/>
      <c r="B16" s="86"/>
      <c r="C16" s="86"/>
      <c r="D16" s="115" t="s">
        <v>133</v>
      </c>
      <c r="E16" s="115"/>
      <c r="F16" s="98">
        <v>0</v>
      </c>
      <c r="G16" s="60">
        <f t="shared" si="1"/>
        <v>0</v>
      </c>
      <c r="H16" s="88"/>
      <c r="I16" s="88"/>
      <c r="J16" s="88"/>
    </row>
    <row r="17" spans="1:8" ht="15" customHeight="1" x14ac:dyDescent="0.2">
      <c r="A17" s="86"/>
      <c r="B17" s="86"/>
      <c r="C17" s="86"/>
      <c r="D17" s="115" t="s">
        <v>134</v>
      </c>
      <c r="E17" s="115"/>
      <c r="F17" s="99">
        <v>0</v>
      </c>
      <c r="G17" s="60">
        <f t="shared" si="1"/>
        <v>0</v>
      </c>
    </row>
    <row r="18" spans="1:8" ht="15" customHeight="1" x14ac:dyDescent="0.2">
      <c r="A18" s="86"/>
      <c r="B18" s="86"/>
      <c r="C18" s="86"/>
      <c r="D18" s="103" t="s">
        <v>113</v>
      </c>
      <c r="E18" s="103"/>
      <c r="F18" s="94">
        <f>SUM(F11:F17)</f>
        <v>9610.2275000000009</v>
      </c>
      <c r="G18" s="94">
        <f>SUM(G11:G17)</f>
        <v>115322.73</v>
      </c>
    </row>
    <row r="19" spans="1:8" ht="15" customHeight="1" x14ac:dyDescent="0.2">
      <c r="A19" s="81"/>
      <c r="B19" s="81"/>
      <c r="C19" s="81"/>
      <c r="D19" s="104" t="s">
        <v>128</v>
      </c>
      <c r="E19" s="104"/>
      <c r="F19" s="104"/>
      <c r="G19" s="104"/>
    </row>
    <row r="20" spans="1:8" ht="15" customHeight="1" x14ac:dyDescent="0.2">
      <c r="A20" s="74"/>
      <c r="B20" s="105"/>
      <c r="C20" s="74"/>
      <c r="D20" s="95"/>
      <c r="E20" s="84" t="s">
        <v>38</v>
      </c>
      <c r="F20" s="75" t="s">
        <v>111</v>
      </c>
      <c r="G20" s="7" t="s">
        <v>149</v>
      </c>
    </row>
    <row r="21" spans="1:8" ht="15" customHeight="1" x14ac:dyDescent="0.2">
      <c r="A21" s="80"/>
      <c r="B21" s="105"/>
      <c r="C21" s="80"/>
      <c r="D21" s="95" t="s">
        <v>114</v>
      </c>
      <c r="E21" s="77">
        <v>1.3014899999999999E-2</v>
      </c>
      <c r="F21" s="76">
        <f>(F8+F18)*E21</f>
        <v>1715.9463929538001</v>
      </c>
      <c r="G21" s="60">
        <f>F21*12</f>
        <v>20591.356715445603</v>
      </c>
    </row>
    <row r="22" spans="1:8" ht="15" customHeight="1" x14ac:dyDescent="0.2">
      <c r="A22" s="80"/>
      <c r="B22" s="105"/>
      <c r="C22" s="80"/>
      <c r="D22" s="95" t="s">
        <v>115</v>
      </c>
      <c r="E22" s="78">
        <v>3.1215E-2</v>
      </c>
      <c r="F22" s="76">
        <f>(F8+F18)*E22</f>
        <v>4115.5342458300001</v>
      </c>
      <c r="G22" s="60">
        <f>F22*12</f>
        <v>49386.410949960002</v>
      </c>
    </row>
    <row r="23" spans="1:8" ht="15" customHeight="1" x14ac:dyDescent="0.2">
      <c r="A23" s="80"/>
      <c r="B23" s="85"/>
      <c r="C23" s="80"/>
      <c r="D23" s="95" t="s">
        <v>110</v>
      </c>
      <c r="E23" s="77">
        <v>2.5000000000000001E-2</v>
      </c>
      <c r="F23" s="76">
        <f>(F8+F18+F21+F22)/(100%-SUM(E23:E25))*E23</f>
        <v>3629.9215294990936</v>
      </c>
      <c r="G23" s="60">
        <f>F23*12</f>
        <v>43559.058353989123</v>
      </c>
    </row>
    <row r="24" spans="1:8" ht="15" customHeight="1" x14ac:dyDescent="0.2">
      <c r="A24" s="80"/>
      <c r="B24" s="85"/>
      <c r="C24" s="80"/>
      <c r="D24" s="95" t="s">
        <v>109</v>
      </c>
      <c r="E24" s="78">
        <v>2.20193326E-2</v>
      </c>
      <c r="F24" s="76">
        <f>((F8+F18+F21+F22)/100%-SUM(E23:E25))*E24</f>
        <v>3031.5378372680402</v>
      </c>
      <c r="G24" s="60">
        <f>F24*12</f>
        <v>36378.454047216481</v>
      </c>
    </row>
    <row r="25" spans="1:8" ht="15" customHeight="1" x14ac:dyDescent="0.2">
      <c r="A25" s="80"/>
      <c r="B25" s="85"/>
      <c r="C25" s="80"/>
      <c r="D25" s="95" t="s">
        <v>116</v>
      </c>
      <c r="E25" s="78">
        <v>4.7766806200000003E-3</v>
      </c>
      <c r="F25" s="76">
        <f>((F8+F18+F21+F22)/100%-SUM(E23:E25))*E25</f>
        <v>657.63519263408375</v>
      </c>
      <c r="G25" s="60">
        <f>F25*12</f>
        <v>7891.622311609005</v>
      </c>
    </row>
    <row r="26" spans="1:8" ht="15" customHeight="1" x14ac:dyDescent="0.2">
      <c r="A26" s="81"/>
      <c r="B26" s="85"/>
      <c r="C26" s="81"/>
      <c r="D26" s="103" t="s">
        <v>119</v>
      </c>
      <c r="E26" s="103"/>
      <c r="F26" s="79">
        <f>SUM(F21:F25)</f>
        <v>13150.575198185017</v>
      </c>
      <c r="G26" s="79">
        <f>SUM(G21:G25)</f>
        <v>157806.90237822023</v>
      </c>
    </row>
    <row r="27" spans="1:8" ht="15" customHeight="1" x14ac:dyDescent="0.2">
      <c r="F27" s="96"/>
    </row>
    <row r="28" spans="1:8" x14ac:dyDescent="0.2">
      <c r="D28" s="11"/>
      <c r="F28" s="11"/>
      <c r="H28" s="11"/>
    </row>
    <row r="29" spans="1:8" ht="15" customHeight="1" x14ac:dyDescent="0.25">
      <c r="D29" s="116" t="s">
        <v>150</v>
      </c>
      <c r="E29" s="116" t="s">
        <v>122</v>
      </c>
      <c r="F29" s="117" t="s">
        <v>151</v>
      </c>
      <c r="H29" s="11"/>
    </row>
    <row r="30" spans="1:8" ht="15" customHeight="1" x14ac:dyDescent="0.25">
      <c r="D30" s="116"/>
      <c r="E30" s="118">
        <f>(F8+F18+F21+F22)*100/(100-2.5-2.20193326-0.477668062)</f>
        <v>145196.86117996374</v>
      </c>
      <c r="F30" s="118">
        <f>(G8+G18+G21+G22)*100/(100-2.5-2.20193326-0.477668062)</f>
        <v>1742362.3341595647</v>
      </c>
      <c r="H30" s="11"/>
    </row>
    <row r="31" spans="1:8" x14ac:dyDescent="0.2">
      <c r="F31" s="11"/>
    </row>
    <row r="32" spans="1:8" x14ac:dyDescent="0.2">
      <c r="D32" s="11"/>
    </row>
  </sheetData>
  <mergeCells count="17">
    <mergeCell ref="D19:G19"/>
    <mergeCell ref="D9:G9"/>
    <mergeCell ref="D26:E26"/>
    <mergeCell ref="A8:C8"/>
    <mergeCell ref="H9:J9"/>
    <mergeCell ref="D17:E17"/>
    <mergeCell ref="D11:E11"/>
    <mergeCell ref="D13:E13"/>
    <mergeCell ref="D10:E10"/>
    <mergeCell ref="D12:E12"/>
    <mergeCell ref="D14:E14"/>
    <mergeCell ref="D16:E16"/>
    <mergeCell ref="D15:E15"/>
    <mergeCell ref="D18:E18"/>
    <mergeCell ref="B20:B22"/>
    <mergeCell ref="A2:G2"/>
    <mergeCell ref="A1:G1"/>
  </mergeCells>
  <printOptions horizontalCentered="1" verticalCentered="1"/>
  <pageMargins left="0" right="0" top="0.19685039370078741" bottom="0.19685039370078741" header="0.31496062992125984" footer="0.31496062992125984"/>
  <pageSetup paperSize="9" scale="8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7939FD-786D-4D35-8DCE-9ADE4DD2FEE6}">
  <dimension ref="A1:C128"/>
  <sheetViews>
    <sheetView topLeftCell="A46" workbookViewId="0">
      <selection activeCell="C126" sqref="C126"/>
    </sheetView>
  </sheetViews>
  <sheetFormatPr defaultRowHeight="12.75" x14ac:dyDescent="0.2"/>
  <cols>
    <col min="1" max="1" width="67" bestFit="1" customWidth="1"/>
    <col min="2" max="3" width="15.7109375" customWidth="1"/>
  </cols>
  <sheetData>
    <row r="1" spans="1:3" ht="15" customHeight="1" x14ac:dyDescent="0.2">
      <c r="A1" s="37" t="s">
        <v>0</v>
      </c>
      <c r="B1" s="63" t="s">
        <v>138</v>
      </c>
      <c r="C1" s="14"/>
    </row>
    <row r="2" spans="1:3" ht="15" customHeight="1" x14ac:dyDescent="0.2">
      <c r="A2" s="37" t="s">
        <v>1</v>
      </c>
      <c r="B2" s="64" t="s">
        <v>2</v>
      </c>
      <c r="C2" s="14"/>
    </row>
    <row r="3" spans="1:3" ht="15" customHeight="1" x14ac:dyDescent="0.2">
      <c r="A3" s="37" t="s">
        <v>3</v>
      </c>
      <c r="B3" s="65">
        <v>5</v>
      </c>
      <c r="C3" s="14"/>
    </row>
    <row r="4" spans="1:3" ht="15" customHeight="1" x14ac:dyDescent="0.2">
      <c r="A4" s="38" t="s">
        <v>4</v>
      </c>
      <c r="B4" s="57" t="str">
        <f>IF(B3=1,"4",IF(B3=2,"8",IF(B3=3,"12",IF(B3=4,"16",IF(B3=5,"22",IF(B3=6,"26",IF(B3=7,"30",0)))))))</f>
        <v>22</v>
      </c>
      <c r="C4" s="14"/>
    </row>
    <row r="5" spans="1:3" ht="15" customHeight="1" x14ac:dyDescent="0.2">
      <c r="A5" s="38" t="s">
        <v>5</v>
      </c>
      <c r="B5" s="66">
        <v>0</v>
      </c>
      <c r="C5" s="14"/>
    </row>
    <row r="6" spans="1:3" ht="15" customHeight="1" x14ac:dyDescent="0.2">
      <c r="A6" s="38" t="s">
        <v>6</v>
      </c>
      <c r="B6" s="66">
        <v>8</v>
      </c>
      <c r="C6" s="14"/>
    </row>
    <row r="7" spans="1:3" ht="15" customHeight="1" x14ac:dyDescent="0.2">
      <c r="A7" s="38" t="s">
        <v>7</v>
      </c>
      <c r="B7" s="53">
        <f>B5+B6</f>
        <v>8</v>
      </c>
      <c r="C7" s="14"/>
    </row>
    <row r="8" spans="1:3" ht="15" customHeight="1" x14ac:dyDescent="0.2">
      <c r="A8" s="16" t="s">
        <v>8</v>
      </c>
      <c r="B8" s="67" t="s">
        <v>123</v>
      </c>
      <c r="C8" s="14"/>
    </row>
    <row r="9" spans="1:3" ht="15" customHeight="1" x14ac:dyDescent="0.2">
      <c r="A9" s="37" t="s">
        <v>9</v>
      </c>
      <c r="B9" s="64" t="s">
        <v>124</v>
      </c>
      <c r="C9" s="14"/>
    </row>
    <row r="10" spans="1:3" ht="15" customHeight="1" x14ac:dyDescent="0.2">
      <c r="A10" s="37" t="s">
        <v>10</v>
      </c>
      <c r="B10" s="68">
        <v>12</v>
      </c>
      <c r="C10" s="14"/>
    </row>
    <row r="11" spans="1:3" ht="15" customHeight="1" x14ac:dyDescent="0.2">
      <c r="A11" s="55" t="s">
        <v>11</v>
      </c>
      <c r="B11" s="67" t="s">
        <v>125</v>
      </c>
      <c r="C11" s="14"/>
    </row>
    <row r="12" spans="1:3" ht="15" customHeight="1" x14ac:dyDescent="0.2">
      <c r="A12" s="37" t="s">
        <v>12</v>
      </c>
      <c r="B12" s="67" t="s">
        <v>144</v>
      </c>
      <c r="C12" s="14"/>
    </row>
    <row r="13" spans="1:3" ht="15" customHeight="1" x14ac:dyDescent="0.2">
      <c r="A13" s="37" t="s">
        <v>13</v>
      </c>
      <c r="B13" s="82" t="s">
        <v>141</v>
      </c>
      <c r="C13" s="14"/>
    </row>
    <row r="14" spans="1:3" ht="15" customHeight="1" x14ac:dyDescent="0.2">
      <c r="A14" s="37" t="s">
        <v>14</v>
      </c>
      <c r="B14" s="83">
        <v>44927</v>
      </c>
      <c r="C14" s="14"/>
    </row>
    <row r="15" spans="1:3" ht="15" customHeight="1" x14ac:dyDescent="0.2">
      <c r="A15" s="16" t="s">
        <v>15</v>
      </c>
      <c r="B15" s="100">
        <v>1431.04</v>
      </c>
      <c r="C15" s="14"/>
    </row>
    <row r="16" spans="1:3" ht="15" customHeight="1" x14ac:dyDescent="0.2">
      <c r="A16" s="38" t="s">
        <v>16</v>
      </c>
      <c r="B16" s="70">
        <v>4.8</v>
      </c>
      <c r="C16" s="14"/>
    </row>
    <row r="17" spans="1:3" ht="15" customHeight="1" x14ac:dyDescent="0.2">
      <c r="A17" s="17" t="s">
        <v>17</v>
      </c>
      <c r="B17" s="71">
        <v>0.06</v>
      </c>
      <c r="C17" s="14"/>
    </row>
    <row r="18" spans="1:3" ht="15" customHeight="1" x14ac:dyDescent="0.2">
      <c r="A18" s="17" t="s">
        <v>18</v>
      </c>
      <c r="B18" s="56">
        <f>B4*2</f>
        <v>44</v>
      </c>
      <c r="C18" s="14"/>
    </row>
    <row r="19" spans="1:3" ht="15" customHeight="1" x14ac:dyDescent="0.2">
      <c r="A19" s="38" t="s">
        <v>19</v>
      </c>
      <c r="B19" s="69">
        <v>22</v>
      </c>
      <c r="C19" s="14"/>
    </row>
    <row r="20" spans="1:3" ht="15" customHeight="1" x14ac:dyDescent="0.2">
      <c r="A20" s="17" t="s">
        <v>20</v>
      </c>
      <c r="B20" s="72">
        <v>0.19</v>
      </c>
      <c r="C20" s="14"/>
    </row>
    <row r="21" spans="1:3" ht="15" customHeight="1" x14ac:dyDescent="0.2">
      <c r="A21" s="17" t="s">
        <v>21</v>
      </c>
      <c r="B21" s="56" t="str">
        <f>B4</f>
        <v>22</v>
      </c>
      <c r="C21" s="14"/>
    </row>
    <row r="22" spans="1:3" ht="15" customHeight="1" x14ac:dyDescent="0.2">
      <c r="A22" s="38" t="s">
        <v>22</v>
      </c>
      <c r="B22" s="70">
        <v>12</v>
      </c>
      <c r="C22" s="14"/>
    </row>
    <row r="23" spans="1:3" ht="15" customHeight="1" x14ac:dyDescent="0.2">
      <c r="A23" s="38" t="s">
        <v>23</v>
      </c>
      <c r="B23" s="70">
        <v>18.5</v>
      </c>
      <c r="C23" s="14"/>
    </row>
    <row r="24" spans="1:3" ht="15" customHeight="1" x14ac:dyDescent="0.2">
      <c r="A24" s="38" t="s">
        <v>24</v>
      </c>
      <c r="B24" s="70">
        <v>120</v>
      </c>
      <c r="C24" s="14"/>
    </row>
    <row r="25" spans="1:3" ht="15" customHeight="1" x14ac:dyDescent="0.2">
      <c r="A25" s="16" t="s">
        <v>25</v>
      </c>
      <c r="B25" s="73">
        <v>0.2</v>
      </c>
      <c r="C25" s="14"/>
    </row>
    <row r="26" spans="1:3" ht="15" customHeight="1" x14ac:dyDescent="0.2">
      <c r="A26" s="16" t="s">
        <v>26</v>
      </c>
      <c r="B26" s="73">
        <v>0.4</v>
      </c>
      <c r="C26" s="14"/>
    </row>
    <row r="27" spans="1:3" ht="15" customHeight="1" x14ac:dyDescent="0.2">
      <c r="A27" s="16" t="s">
        <v>27</v>
      </c>
      <c r="B27" s="73">
        <v>0</v>
      </c>
      <c r="C27" s="14"/>
    </row>
    <row r="28" spans="1:3" ht="15" customHeight="1" x14ac:dyDescent="0.2">
      <c r="A28" s="61"/>
      <c r="B28" s="62"/>
      <c r="C28" s="14"/>
    </row>
    <row r="29" spans="1:3" ht="15" customHeight="1" x14ac:dyDescent="0.2">
      <c r="A29" s="109" t="s">
        <v>28</v>
      </c>
      <c r="B29" s="109"/>
      <c r="C29" s="14"/>
    </row>
    <row r="30" spans="1:3" ht="15" customHeight="1" x14ac:dyDescent="0.2">
      <c r="A30" s="38" t="s">
        <v>29</v>
      </c>
      <c r="B30" s="53">
        <v>220</v>
      </c>
      <c r="C30" s="14"/>
    </row>
    <row r="31" spans="1:3" ht="15" customHeight="1" x14ac:dyDescent="0.2">
      <c r="A31" s="38" t="s">
        <v>30</v>
      </c>
      <c r="B31" s="53">
        <v>220</v>
      </c>
      <c r="C31" s="14"/>
    </row>
    <row r="32" spans="1:3" ht="15" customHeight="1" x14ac:dyDescent="0.2">
      <c r="A32" s="38" t="s">
        <v>31</v>
      </c>
      <c r="B32" s="58">
        <v>0</v>
      </c>
      <c r="C32" s="14"/>
    </row>
    <row r="33" spans="1:3" ht="15" customHeight="1" x14ac:dyDescent="0.2">
      <c r="A33" s="38" t="s">
        <v>32</v>
      </c>
      <c r="B33" s="54">
        <f>B15/B30</f>
        <v>6.5047272727272727</v>
      </c>
      <c r="C33" s="14"/>
    </row>
    <row r="34" spans="1:3" ht="15" customHeight="1" x14ac:dyDescent="0.2">
      <c r="A34" s="38" t="s">
        <v>33</v>
      </c>
      <c r="B34" s="54">
        <f>B33*B45+B33</f>
        <v>9.1066181818181811</v>
      </c>
      <c r="C34" s="14"/>
    </row>
    <row r="35" spans="1:3" ht="15" customHeight="1" x14ac:dyDescent="0.2">
      <c r="A35" s="38" t="s">
        <v>34</v>
      </c>
      <c r="B35" s="54">
        <f>TRUNC((B15*B43)/B30,2)</f>
        <v>1.3</v>
      </c>
      <c r="C35" s="14"/>
    </row>
    <row r="36" spans="1:3" ht="15" customHeight="1" x14ac:dyDescent="0.2">
      <c r="A36" s="110"/>
      <c r="B36" s="110"/>
      <c r="C36" s="18"/>
    </row>
    <row r="37" spans="1:3" ht="15" customHeight="1" x14ac:dyDescent="0.2">
      <c r="A37" s="111" t="s">
        <v>35</v>
      </c>
      <c r="B37" s="111"/>
      <c r="C37" s="97" t="str">
        <f>B8</f>
        <v>A</v>
      </c>
    </row>
    <row r="38" spans="1:3" ht="15" customHeight="1" x14ac:dyDescent="0.2">
      <c r="A38" s="15"/>
      <c r="B38" s="15"/>
      <c r="C38" s="15"/>
    </row>
    <row r="39" spans="1:3" ht="15" customHeight="1" x14ac:dyDescent="0.2">
      <c r="A39" s="20" t="s">
        <v>36</v>
      </c>
      <c r="B39" s="19"/>
      <c r="C39" s="19"/>
    </row>
    <row r="40" spans="1:3" ht="15" customHeight="1" x14ac:dyDescent="0.2">
      <c r="A40" s="13" t="s">
        <v>37</v>
      </c>
      <c r="B40" s="52" t="s">
        <v>38</v>
      </c>
      <c r="C40" s="43" t="s">
        <v>39</v>
      </c>
    </row>
    <row r="41" spans="1:3" ht="15" customHeight="1" x14ac:dyDescent="0.2">
      <c r="A41" s="16" t="s">
        <v>40</v>
      </c>
      <c r="B41" s="1"/>
      <c r="C41" s="10">
        <f>TRUNC(IF(B31&lt;=220,(B33*B31),B15),2)</f>
        <v>1431.04</v>
      </c>
    </row>
    <row r="42" spans="1:3" ht="15" customHeight="1" x14ac:dyDescent="0.2">
      <c r="A42" s="16" t="s">
        <v>41</v>
      </c>
      <c r="B42" s="1"/>
      <c r="C42" s="10">
        <v>0</v>
      </c>
    </row>
    <row r="43" spans="1:3" ht="15" customHeight="1" x14ac:dyDescent="0.2">
      <c r="A43" s="16" t="s">
        <v>25</v>
      </c>
      <c r="B43" s="1">
        <f>B25</f>
        <v>0.2</v>
      </c>
      <c r="C43" s="10">
        <f>TRUNC(((B5*B4)*B35),2)</f>
        <v>0</v>
      </c>
    </row>
    <row r="44" spans="1:3" ht="15" customHeight="1" x14ac:dyDescent="0.2">
      <c r="A44" s="16" t="s">
        <v>42</v>
      </c>
      <c r="B44" s="1"/>
      <c r="C44" s="10">
        <f>TRUNC((((B5*1.142857)-B5)*B4)*(B33+B35),2)</f>
        <v>0</v>
      </c>
    </row>
    <row r="45" spans="1:3" ht="15" customHeight="1" x14ac:dyDescent="0.2">
      <c r="A45" s="16" t="s">
        <v>26</v>
      </c>
      <c r="B45" s="1">
        <v>0.4</v>
      </c>
      <c r="C45" s="10">
        <f>B15*B45</f>
        <v>572.41600000000005</v>
      </c>
    </row>
    <row r="46" spans="1:3" ht="15" customHeight="1" x14ac:dyDescent="0.2">
      <c r="A46" s="16" t="s">
        <v>27</v>
      </c>
      <c r="B46" s="1">
        <f>B27</f>
        <v>0</v>
      </c>
      <c r="C46" s="10">
        <f>TRUNC(B46*B15,2)</f>
        <v>0</v>
      </c>
    </row>
    <row r="47" spans="1:3" ht="15" customHeight="1" x14ac:dyDescent="0.2">
      <c r="A47" s="38" t="s">
        <v>43</v>
      </c>
      <c r="B47" s="1"/>
      <c r="C47" s="10">
        <f>TRUNC((C42+C43+C44)*20%,2)</f>
        <v>0</v>
      </c>
    </row>
    <row r="48" spans="1:3" ht="15" customHeight="1" x14ac:dyDescent="0.2">
      <c r="A48" s="44" t="s">
        <v>44</v>
      </c>
      <c r="B48" s="1"/>
      <c r="C48" s="10">
        <f>SUM(C41:C47)</f>
        <v>2003.4560000000001</v>
      </c>
    </row>
    <row r="49" spans="1:3" ht="15" customHeight="1" x14ac:dyDescent="0.2">
      <c r="A49" s="41" t="s">
        <v>45</v>
      </c>
      <c r="B49" s="2"/>
      <c r="C49" s="35">
        <f>C48</f>
        <v>2003.4560000000001</v>
      </c>
    </row>
    <row r="50" spans="1:3" ht="15" customHeight="1" x14ac:dyDescent="0.2">
      <c r="A50" s="23"/>
      <c r="B50" s="24"/>
      <c r="C50" s="22"/>
    </row>
    <row r="51" spans="1:3" ht="15" customHeight="1" x14ac:dyDescent="0.2">
      <c r="A51" s="25" t="s">
        <v>46</v>
      </c>
      <c r="B51" s="24"/>
      <c r="C51" s="22"/>
    </row>
    <row r="52" spans="1:3" ht="25.5" x14ac:dyDescent="0.2">
      <c r="A52" s="13" t="s">
        <v>47</v>
      </c>
      <c r="B52" s="42" t="s">
        <v>48</v>
      </c>
      <c r="C52" s="43" t="s">
        <v>39</v>
      </c>
    </row>
    <row r="53" spans="1:3" ht="15" customHeight="1" x14ac:dyDescent="0.2">
      <c r="A53" s="12" t="s">
        <v>49</v>
      </c>
      <c r="B53" s="2">
        <f>C53/C49</f>
        <v>6.2556901673907483E-2</v>
      </c>
      <c r="C53" s="9">
        <f>TRUNC(IF(B31&gt;=B30,(B16*B18)-(B15*B17),(B16*B18)-(C41*B17)),2)</f>
        <v>125.33</v>
      </c>
    </row>
    <row r="54" spans="1:3" ht="15" customHeight="1" x14ac:dyDescent="0.2">
      <c r="A54" s="50" t="s">
        <v>50</v>
      </c>
      <c r="B54" s="2">
        <f>C54/C$49</f>
        <v>0.19568186174290825</v>
      </c>
      <c r="C54" s="51">
        <f>TRUNC((B19*B21)*(100%-B20),2)</f>
        <v>392.04</v>
      </c>
    </row>
    <row r="55" spans="1:3" ht="15" customHeight="1" x14ac:dyDescent="0.2">
      <c r="A55" s="12" t="s">
        <v>51</v>
      </c>
      <c r="B55" s="2">
        <f>C55/C$49</f>
        <v>4.991374904165602E-4</v>
      </c>
      <c r="C55" s="9">
        <f>B22/12</f>
        <v>1</v>
      </c>
    </row>
    <row r="56" spans="1:3" ht="15" customHeight="1" x14ac:dyDescent="0.2">
      <c r="A56" s="12" t="s">
        <v>52</v>
      </c>
      <c r="B56" s="2">
        <f>C56/C$49</f>
        <v>9.2340435727063623E-3</v>
      </c>
      <c r="C56" s="9">
        <f>B23</f>
        <v>18.5</v>
      </c>
    </row>
    <row r="57" spans="1:3" ht="15" customHeight="1" x14ac:dyDescent="0.2">
      <c r="A57" s="47" t="s">
        <v>53</v>
      </c>
      <c r="B57" s="2">
        <f>C57/C$49</f>
        <v>4.9913749041656016E-3</v>
      </c>
      <c r="C57" s="9">
        <f>B24/12</f>
        <v>10</v>
      </c>
    </row>
    <row r="58" spans="1:3" ht="15" customHeight="1" x14ac:dyDescent="0.2">
      <c r="A58" s="41" t="s">
        <v>54</v>
      </c>
      <c r="B58" s="3">
        <f>SUM(B53:B57)</f>
        <v>0.27296331938410429</v>
      </c>
      <c r="C58" s="8">
        <f>SUM(C53:C57)</f>
        <v>546.87</v>
      </c>
    </row>
    <row r="59" spans="1:3" ht="15" customHeight="1" x14ac:dyDescent="0.2">
      <c r="A59" s="15"/>
      <c r="B59" s="26"/>
      <c r="C59" s="27"/>
    </row>
    <row r="60" spans="1:3" ht="15" customHeight="1" x14ac:dyDescent="0.2">
      <c r="A60" s="25" t="s">
        <v>55</v>
      </c>
      <c r="B60" s="24"/>
      <c r="C60" s="22"/>
    </row>
    <row r="61" spans="1:3" ht="25.5" x14ac:dyDescent="0.2">
      <c r="A61" s="13" t="s">
        <v>47</v>
      </c>
      <c r="B61" s="42" t="s">
        <v>48</v>
      </c>
      <c r="C61" s="43" t="s">
        <v>39</v>
      </c>
    </row>
    <row r="62" spans="1:3" ht="15" customHeight="1" x14ac:dyDescent="0.2">
      <c r="A62" s="12" t="s">
        <v>56</v>
      </c>
      <c r="B62" s="2">
        <f>C62/C$49</f>
        <v>8.2278521639338378E-3</v>
      </c>
      <c r="C62" s="101">
        <f>([1]EPI!$E$7/30)+([1]Insumos!$E$10/31)</f>
        <v>16.484139784946233</v>
      </c>
    </row>
    <row r="63" spans="1:3" ht="15" customHeight="1" x14ac:dyDescent="0.2">
      <c r="A63" s="44" t="s">
        <v>57</v>
      </c>
      <c r="B63" s="4">
        <f>SUM(B62:B62)</f>
        <v>8.2278521639338378E-3</v>
      </c>
      <c r="C63" s="34">
        <f>SUM(C62:C62)</f>
        <v>16.484139784946233</v>
      </c>
    </row>
    <row r="64" spans="1:3" ht="15" customHeight="1" x14ac:dyDescent="0.2">
      <c r="A64" s="23"/>
      <c r="B64" s="24"/>
      <c r="C64" s="22"/>
    </row>
    <row r="65" spans="1:3" ht="15" customHeight="1" x14ac:dyDescent="0.2">
      <c r="A65" s="29" t="s">
        <v>58</v>
      </c>
      <c r="B65" s="15"/>
      <c r="C65" s="15"/>
    </row>
    <row r="66" spans="1:3" ht="15" customHeight="1" x14ac:dyDescent="0.2">
      <c r="A66" s="29" t="s">
        <v>59</v>
      </c>
      <c r="B66" s="15"/>
      <c r="C66" s="15"/>
    </row>
    <row r="67" spans="1:3" ht="15" customHeight="1" x14ac:dyDescent="0.2">
      <c r="A67" s="13" t="s">
        <v>60</v>
      </c>
      <c r="B67" s="46" t="s">
        <v>38</v>
      </c>
      <c r="C67" s="43" t="s">
        <v>39</v>
      </c>
    </row>
    <row r="68" spans="1:3" ht="15" customHeight="1" x14ac:dyDescent="0.2">
      <c r="A68" s="16" t="s">
        <v>61</v>
      </c>
      <c r="B68" s="1">
        <v>0.2</v>
      </c>
      <c r="C68" s="10">
        <f t="shared" ref="C68:C75" si="0">TRUNC($C$49*B68,2)</f>
        <v>400.69</v>
      </c>
    </row>
    <row r="69" spans="1:3" ht="15" customHeight="1" x14ac:dyDescent="0.2">
      <c r="A69" s="16" t="s">
        <v>62</v>
      </c>
      <c r="B69" s="1">
        <v>0</v>
      </c>
      <c r="C69" s="10">
        <f t="shared" si="0"/>
        <v>0</v>
      </c>
    </row>
    <row r="70" spans="1:3" ht="15" customHeight="1" x14ac:dyDescent="0.2">
      <c r="A70" s="16" t="s">
        <v>63</v>
      </c>
      <c r="B70" s="1">
        <v>0</v>
      </c>
      <c r="C70" s="10">
        <f t="shared" si="0"/>
        <v>0</v>
      </c>
    </row>
    <row r="71" spans="1:3" ht="15" customHeight="1" x14ac:dyDescent="0.2">
      <c r="A71" s="16" t="s">
        <v>64</v>
      </c>
      <c r="B71" s="1">
        <v>0</v>
      </c>
      <c r="C71" s="10">
        <f t="shared" si="0"/>
        <v>0</v>
      </c>
    </row>
    <row r="72" spans="1:3" ht="15" customHeight="1" x14ac:dyDescent="0.2">
      <c r="A72" s="16" t="s">
        <v>65</v>
      </c>
      <c r="B72" s="1">
        <v>0</v>
      </c>
      <c r="C72" s="10">
        <f t="shared" si="0"/>
        <v>0</v>
      </c>
    </row>
    <row r="73" spans="1:3" ht="15" customHeight="1" x14ac:dyDescent="0.2">
      <c r="A73" s="16" t="s">
        <v>145</v>
      </c>
      <c r="B73" s="5">
        <f>0.2*0.05</f>
        <v>1.0000000000000002E-2</v>
      </c>
      <c r="C73" s="10">
        <f t="shared" si="0"/>
        <v>20.03</v>
      </c>
    </row>
    <row r="74" spans="1:3" ht="15" customHeight="1" x14ac:dyDescent="0.2">
      <c r="A74" s="16" t="s">
        <v>66</v>
      </c>
      <c r="B74" s="1">
        <v>0.08</v>
      </c>
      <c r="C74" s="10">
        <f t="shared" si="0"/>
        <v>160.27000000000001</v>
      </c>
    </row>
    <row r="75" spans="1:3" ht="15" customHeight="1" x14ac:dyDescent="0.2">
      <c r="A75" s="16" t="s">
        <v>67</v>
      </c>
      <c r="B75" s="1">
        <v>0</v>
      </c>
      <c r="C75" s="10">
        <f t="shared" si="0"/>
        <v>0</v>
      </c>
    </row>
    <row r="76" spans="1:3" ht="15" customHeight="1" x14ac:dyDescent="0.2">
      <c r="A76" s="44" t="s">
        <v>68</v>
      </c>
      <c r="B76" s="4">
        <f>SUM(B68:B75)</f>
        <v>0.29000000000000004</v>
      </c>
      <c r="C76" s="34">
        <f>SUM(C68:C75)</f>
        <v>580.99</v>
      </c>
    </row>
    <row r="77" spans="1:3" ht="15" customHeight="1" x14ac:dyDescent="0.2">
      <c r="A77" s="23"/>
      <c r="B77" s="22"/>
      <c r="C77" s="22"/>
    </row>
    <row r="78" spans="1:3" ht="15" customHeight="1" x14ac:dyDescent="0.2">
      <c r="A78" s="25" t="s">
        <v>69</v>
      </c>
      <c r="B78" s="22"/>
      <c r="C78" s="22"/>
    </row>
    <row r="79" spans="1:3" ht="15" customHeight="1" x14ac:dyDescent="0.2">
      <c r="A79" s="13" t="s">
        <v>60</v>
      </c>
      <c r="B79" s="46" t="s">
        <v>38</v>
      </c>
      <c r="C79" s="43" t="s">
        <v>39</v>
      </c>
    </row>
    <row r="80" spans="1:3" ht="15" customHeight="1" x14ac:dyDescent="0.2">
      <c r="A80" s="16" t="s">
        <v>70</v>
      </c>
      <c r="B80" s="1">
        <v>2.7799999999999998E-2</v>
      </c>
      <c r="C80" s="10">
        <f>TRUNC($C$49*B80,2)</f>
        <v>55.69</v>
      </c>
    </row>
    <row r="81" spans="1:3" ht="15" customHeight="1" x14ac:dyDescent="0.2">
      <c r="A81" s="40" t="s">
        <v>71</v>
      </c>
      <c r="B81" s="1">
        <v>8.3299999999999999E-2</v>
      </c>
      <c r="C81" s="10">
        <f>TRUNC($C$49*B81,2)</f>
        <v>166.88</v>
      </c>
    </row>
    <row r="82" spans="1:3" ht="15" customHeight="1" x14ac:dyDescent="0.2">
      <c r="A82" s="44" t="s">
        <v>72</v>
      </c>
      <c r="B82" s="4">
        <f>B80+B81</f>
        <v>0.1111</v>
      </c>
      <c r="C82" s="34">
        <f>SUM(C80:C81)</f>
        <v>222.57</v>
      </c>
    </row>
    <row r="83" spans="1:3" ht="15" customHeight="1" x14ac:dyDescent="0.2">
      <c r="A83" s="47" t="s">
        <v>73</v>
      </c>
      <c r="B83" s="1">
        <f>B82*B76</f>
        <v>3.2219000000000005E-2</v>
      </c>
      <c r="C83" s="10">
        <f>TRUNC($C$49*B83,2)</f>
        <v>64.540000000000006</v>
      </c>
    </row>
    <row r="84" spans="1:3" ht="15" customHeight="1" x14ac:dyDescent="0.2">
      <c r="A84" s="41" t="s">
        <v>74</v>
      </c>
      <c r="B84" s="4">
        <f>B82+B83</f>
        <v>0.143319</v>
      </c>
      <c r="C84" s="34">
        <f>C82+C83</f>
        <v>287.11</v>
      </c>
    </row>
    <row r="85" spans="1:3" ht="15" customHeight="1" x14ac:dyDescent="0.2">
      <c r="A85" s="15"/>
      <c r="B85" s="30"/>
      <c r="C85" s="30"/>
    </row>
    <row r="86" spans="1:3" ht="15" customHeight="1" x14ac:dyDescent="0.2">
      <c r="A86" s="25" t="s">
        <v>75</v>
      </c>
      <c r="B86" s="22"/>
      <c r="C86" s="22"/>
    </row>
    <row r="87" spans="1:3" ht="15" customHeight="1" x14ac:dyDescent="0.2">
      <c r="A87" s="49" t="s">
        <v>60</v>
      </c>
      <c r="B87" s="46" t="s">
        <v>38</v>
      </c>
      <c r="C87" s="43" t="s">
        <v>39</v>
      </c>
    </row>
    <row r="88" spans="1:3" ht="15" customHeight="1" x14ac:dyDescent="0.2">
      <c r="A88" s="40" t="s">
        <v>76</v>
      </c>
      <c r="B88" s="1">
        <v>2.9999999999999997E-4</v>
      </c>
      <c r="C88" s="10">
        <f>TRUNC($C$49*B88,2)</f>
        <v>0.6</v>
      </c>
    </row>
    <row r="89" spans="1:3" ht="15" customHeight="1" x14ac:dyDescent="0.2">
      <c r="A89" s="47" t="s">
        <v>77</v>
      </c>
      <c r="B89" s="1">
        <f>B88*B76</f>
        <v>8.7000000000000001E-5</v>
      </c>
      <c r="C89" s="10">
        <f>TRUNC($C$49*B89,2)</f>
        <v>0.17</v>
      </c>
    </row>
    <row r="90" spans="1:3" ht="15" customHeight="1" x14ac:dyDescent="0.2">
      <c r="A90" s="39" t="s">
        <v>78</v>
      </c>
      <c r="B90" s="4">
        <f>B88+B89</f>
        <v>3.8699999999999997E-4</v>
      </c>
      <c r="C90" s="34">
        <f>SUM(C88:C89)</f>
        <v>0.77</v>
      </c>
    </row>
    <row r="91" spans="1:3" ht="15" customHeight="1" x14ac:dyDescent="0.2">
      <c r="A91" s="31"/>
      <c r="B91" s="28"/>
      <c r="C91" s="28"/>
    </row>
    <row r="92" spans="1:3" ht="15" customHeight="1" x14ac:dyDescent="0.2">
      <c r="A92" s="20" t="s">
        <v>79</v>
      </c>
      <c r="B92" s="28"/>
      <c r="C92" s="28"/>
    </row>
    <row r="93" spans="1:3" ht="15" customHeight="1" x14ac:dyDescent="0.2">
      <c r="A93" s="13" t="s">
        <v>60</v>
      </c>
      <c r="B93" s="46" t="s">
        <v>38</v>
      </c>
      <c r="C93" s="43" t="s">
        <v>39</v>
      </c>
    </row>
    <row r="94" spans="1:3" ht="15" customHeight="1" x14ac:dyDescent="0.2">
      <c r="A94" s="40" t="s">
        <v>80</v>
      </c>
      <c r="B94" s="1">
        <v>4.1999999999999997E-3</v>
      </c>
      <c r="C94" s="10">
        <f t="shared" ref="C94:C102" si="1">TRUNC($C$49*B94,2)</f>
        <v>8.41</v>
      </c>
    </row>
    <row r="95" spans="1:3" ht="15" customHeight="1" x14ac:dyDescent="0.2">
      <c r="A95" s="40" t="s">
        <v>81</v>
      </c>
      <c r="B95" s="1">
        <f>B94*B74</f>
        <v>3.3599999999999998E-4</v>
      </c>
      <c r="C95" s="10">
        <f t="shared" si="1"/>
        <v>0.67</v>
      </c>
    </row>
    <row r="96" spans="1:3" ht="15" customHeight="1" x14ac:dyDescent="0.2">
      <c r="A96" s="40" t="s">
        <v>82</v>
      </c>
      <c r="B96" s="1">
        <f>B95*50%</f>
        <v>1.6799999999999999E-4</v>
      </c>
      <c r="C96" s="10">
        <f t="shared" si="1"/>
        <v>0.33</v>
      </c>
    </row>
    <row r="97" spans="1:3" ht="15" customHeight="1" x14ac:dyDescent="0.2">
      <c r="A97" s="48" t="s">
        <v>83</v>
      </c>
      <c r="B97" s="1">
        <v>3.3599999999999998E-2</v>
      </c>
      <c r="C97" s="10">
        <f t="shared" si="1"/>
        <v>67.31</v>
      </c>
    </row>
    <row r="98" spans="1:3" ht="15" customHeight="1" x14ac:dyDescent="0.2">
      <c r="A98" s="40" t="s">
        <v>84</v>
      </c>
      <c r="B98" s="1">
        <v>4.0000000000000002E-4</v>
      </c>
      <c r="C98" s="10">
        <f t="shared" si="1"/>
        <v>0.8</v>
      </c>
    </row>
    <row r="99" spans="1:3" ht="15" customHeight="1" x14ac:dyDescent="0.2">
      <c r="A99" s="40" t="s">
        <v>85</v>
      </c>
      <c r="B99" s="1">
        <v>1.9400000000000001E-2</v>
      </c>
      <c r="C99" s="10">
        <f t="shared" si="1"/>
        <v>38.86</v>
      </c>
    </row>
    <row r="100" spans="1:3" ht="15" customHeight="1" x14ac:dyDescent="0.2">
      <c r="A100" s="40" t="s">
        <v>86</v>
      </c>
      <c r="B100" s="1">
        <f>(B98+B99)*B76</f>
        <v>5.7420000000000014E-3</v>
      </c>
      <c r="C100" s="10">
        <f t="shared" si="1"/>
        <v>11.5</v>
      </c>
    </row>
    <row r="101" spans="1:3" ht="15" customHeight="1" x14ac:dyDescent="0.2">
      <c r="A101" s="40" t="s">
        <v>87</v>
      </c>
      <c r="B101" s="1">
        <f>(B98+B99)*B74*50%</f>
        <v>7.9200000000000006E-4</v>
      </c>
      <c r="C101" s="10">
        <f t="shared" si="1"/>
        <v>1.58</v>
      </c>
    </row>
    <row r="102" spans="1:3" ht="15" customHeight="1" x14ac:dyDescent="0.2">
      <c r="A102" s="40" t="s">
        <v>88</v>
      </c>
      <c r="B102" s="1">
        <v>8.0000000000000004E-4</v>
      </c>
      <c r="C102" s="10">
        <f t="shared" si="1"/>
        <v>1.6</v>
      </c>
    </row>
    <row r="103" spans="1:3" ht="15" customHeight="1" x14ac:dyDescent="0.2">
      <c r="A103" s="39" t="s">
        <v>89</v>
      </c>
      <c r="B103" s="4">
        <f>SUM(B94:B102)</f>
        <v>6.5437999999999996E-2</v>
      </c>
      <c r="C103" s="34">
        <f>SUM(C94:C102)</f>
        <v>131.06</v>
      </c>
    </row>
    <row r="104" spans="1:3" ht="15" customHeight="1" x14ac:dyDescent="0.2">
      <c r="A104" s="31"/>
      <c r="B104" s="28"/>
      <c r="C104" s="28"/>
    </row>
    <row r="105" spans="1:3" ht="15" customHeight="1" x14ac:dyDescent="0.2">
      <c r="A105" s="20" t="s">
        <v>90</v>
      </c>
      <c r="B105" s="28"/>
      <c r="C105" s="28"/>
    </row>
    <row r="106" spans="1:3" ht="15" customHeight="1" x14ac:dyDescent="0.2">
      <c r="A106" s="13" t="s">
        <v>60</v>
      </c>
      <c r="B106" s="46" t="s">
        <v>38</v>
      </c>
      <c r="C106" s="43" t="s">
        <v>39</v>
      </c>
    </row>
    <row r="107" spans="1:3" ht="15" customHeight="1" x14ac:dyDescent="0.2">
      <c r="A107" s="12" t="s">
        <v>91</v>
      </c>
      <c r="B107" s="1">
        <v>8.3299999999999999E-2</v>
      </c>
      <c r="C107" s="10">
        <f>TRUNC($C$49*B107,2)</f>
        <v>166.88</v>
      </c>
    </row>
    <row r="108" spans="1:3" ht="15" customHeight="1" x14ac:dyDescent="0.2">
      <c r="A108" s="12" t="s">
        <v>92</v>
      </c>
      <c r="B108" s="1">
        <v>1.3899999999999999E-2</v>
      </c>
      <c r="C108" s="10">
        <f>TRUNC($C$49*B108,2)</f>
        <v>27.84</v>
      </c>
    </row>
    <row r="109" spans="1:3" ht="15" customHeight="1" x14ac:dyDescent="0.2">
      <c r="A109" s="12" t="s">
        <v>93</v>
      </c>
      <c r="B109" s="1">
        <v>2.0000000000000001E-4</v>
      </c>
      <c r="C109" s="10">
        <f>TRUNC($C$49*B109,2)</f>
        <v>0.4</v>
      </c>
    </row>
    <row r="110" spans="1:3" ht="15" customHeight="1" x14ac:dyDescent="0.2">
      <c r="A110" s="12" t="s">
        <v>94</v>
      </c>
      <c r="B110" s="1">
        <v>2.8E-3</v>
      </c>
      <c r="C110" s="10">
        <f>TRUNC($C$49*B110,2)</f>
        <v>5.6</v>
      </c>
    </row>
    <row r="111" spans="1:3" ht="15" customHeight="1" x14ac:dyDescent="0.2">
      <c r="A111" s="12" t="s">
        <v>95</v>
      </c>
      <c r="B111" s="1">
        <v>2.9999999999999997E-4</v>
      </c>
      <c r="C111" s="10">
        <f>TRUNC($C$49*B111,2)</f>
        <v>0.6</v>
      </c>
    </row>
    <row r="112" spans="1:3" ht="15" customHeight="1" x14ac:dyDescent="0.2">
      <c r="A112" s="41" t="s">
        <v>96</v>
      </c>
      <c r="B112" s="3">
        <f>SUM(B107:B111)</f>
        <v>0.10049999999999999</v>
      </c>
      <c r="C112" s="34">
        <f>SUM(C107:C111)</f>
        <v>201.32</v>
      </c>
    </row>
    <row r="113" spans="1:3" ht="15" customHeight="1" x14ac:dyDescent="0.2">
      <c r="A113" s="47" t="s">
        <v>97</v>
      </c>
      <c r="B113" s="2">
        <f>B112*B76</f>
        <v>2.9145000000000001E-2</v>
      </c>
      <c r="C113" s="10">
        <f>TRUNC($C$49*B113,2)</f>
        <v>58.39</v>
      </c>
    </row>
    <row r="114" spans="1:3" ht="15" customHeight="1" x14ac:dyDescent="0.2">
      <c r="A114" s="41" t="s">
        <v>98</v>
      </c>
      <c r="B114" s="3">
        <f>B112+B113</f>
        <v>0.12964499999999998</v>
      </c>
      <c r="C114" s="34">
        <f>C112+C113</f>
        <v>259.70999999999998</v>
      </c>
    </row>
    <row r="115" spans="1:3" ht="15" customHeight="1" x14ac:dyDescent="0.2">
      <c r="A115" s="15"/>
      <c r="B115" s="15"/>
      <c r="C115" s="15"/>
    </row>
    <row r="116" spans="1:3" ht="15" customHeight="1" x14ac:dyDescent="0.2">
      <c r="A116" s="25" t="s">
        <v>99</v>
      </c>
      <c r="B116" s="28"/>
      <c r="C116" s="28"/>
    </row>
    <row r="117" spans="1:3" ht="15" customHeight="1" x14ac:dyDescent="0.2">
      <c r="A117" s="13" t="s">
        <v>100</v>
      </c>
      <c r="B117" s="46" t="s">
        <v>38</v>
      </c>
      <c r="C117" s="43" t="s">
        <v>39</v>
      </c>
    </row>
    <row r="118" spans="1:3" ht="15" customHeight="1" x14ac:dyDescent="0.2">
      <c r="A118" s="16" t="s">
        <v>101</v>
      </c>
      <c r="B118" s="1">
        <f>B76</f>
        <v>0.29000000000000004</v>
      </c>
      <c r="C118" s="36">
        <f>C76</f>
        <v>580.99</v>
      </c>
    </row>
    <row r="119" spans="1:3" ht="15" customHeight="1" x14ac:dyDescent="0.2">
      <c r="A119" s="37" t="s">
        <v>102</v>
      </c>
      <c r="B119" s="1">
        <f>B84</f>
        <v>0.143319</v>
      </c>
      <c r="C119" s="36">
        <f>C84</f>
        <v>287.11</v>
      </c>
    </row>
    <row r="120" spans="1:3" ht="15" customHeight="1" x14ac:dyDescent="0.2">
      <c r="A120" s="16" t="s">
        <v>103</v>
      </c>
      <c r="B120" s="1">
        <f>B90</f>
        <v>3.8699999999999997E-4</v>
      </c>
      <c r="C120" s="36">
        <f>C90</f>
        <v>0.77</v>
      </c>
    </row>
    <row r="121" spans="1:3" ht="15" customHeight="1" x14ac:dyDescent="0.2">
      <c r="A121" s="16" t="s">
        <v>104</v>
      </c>
      <c r="B121" s="1">
        <f>B103</f>
        <v>6.5437999999999996E-2</v>
      </c>
      <c r="C121" s="36">
        <f>C103</f>
        <v>131.06</v>
      </c>
    </row>
    <row r="122" spans="1:3" ht="15" customHeight="1" x14ac:dyDescent="0.2">
      <c r="A122" s="38" t="s">
        <v>105</v>
      </c>
      <c r="B122" s="1">
        <f>B114</f>
        <v>0.12964499999999998</v>
      </c>
      <c r="C122" s="36">
        <f>C114</f>
        <v>259.70999999999998</v>
      </c>
    </row>
    <row r="123" spans="1:3" ht="15" customHeight="1" x14ac:dyDescent="0.2">
      <c r="A123" s="44" t="s">
        <v>106</v>
      </c>
      <c r="B123" s="4">
        <f>SUM(B118:B122)</f>
        <v>0.62878900000000004</v>
      </c>
      <c r="C123" s="34">
        <f>SUM(C118:C122)</f>
        <v>1259.6400000000001</v>
      </c>
    </row>
    <row r="124" spans="1:3" ht="15" customHeight="1" x14ac:dyDescent="0.2">
      <c r="A124" s="15"/>
      <c r="B124" s="21"/>
      <c r="C124" s="21"/>
    </row>
    <row r="125" spans="1:3" ht="25.5" x14ac:dyDescent="0.2">
      <c r="A125" s="44" t="s">
        <v>107</v>
      </c>
      <c r="B125" s="33" t="s">
        <v>108</v>
      </c>
      <c r="C125" s="45">
        <f>C49+C58+C63+C123</f>
        <v>3826.4501397849463</v>
      </c>
    </row>
    <row r="126" spans="1:3" ht="15" customHeight="1" x14ac:dyDescent="0.2">
      <c r="A126" s="25"/>
      <c r="B126" s="21"/>
      <c r="C126" s="32"/>
    </row>
    <row r="127" spans="1:3" ht="15" customHeight="1" x14ac:dyDescent="0.2">
      <c r="A127" s="15"/>
      <c r="B127" s="15"/>
      <c r="C127" s="15"/>
    </row>
    <row r="128" spans="1:3" ht="15" customHeight="1" x14ac:dyDescent="0.2">
      <c r="A128" s="15"/>
      <c r="B128" s="15"/>
      <c r="C128" s="15"/>
    </row>
  </sheetData>
  <mergeCells count="3">
    <mergeCell ref="A29:B29"/>
    <mergeCell ref="A36:B36"/>
    <mergeCell ref="A37:B37"/>
  </mergeCells>
  <dataValidations count="1">
    <dataValidation allowBlank="1" showErrorMessage="1" sqref="B32" xr:uid="{AFD27F21-61B9-465F-942C-43A9E69D61A5}">
      <formula1>0</formula1>
      <formula2>0</formula2>
    </dataValidation>
  </dataValidations>
  <printOptions horizontalCentered="1" verticalCentered="1"/>
  <pageMargins left="0.11811023622047245" right="0.11811023622047245" top="0.39370078740157483" bottom="0.39370078740157483" header="0.31496062992125984" footer="0.31496062992125984"/>
  <pageSetup paperSize="9" scale="80" orientation="portrait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B3EF4C-0713-4076-9687-3D7DBA729013}">
  <dimension ref="A1:C128"/>
  <sheetViews>
    <sheetView topLeftCell="A49" workbookViewId="0">
      <selection activeCell="C63" sqref="C63"/>
    </sheetView>
  </sheetViews>
  <sheetFormatPr defaultRowHeight="12.75" x14ac:dyDescent="0.2"/>
  <cols>
    <col min="1" max="1" width="67" bestFit="1" customWidth="1"/>
    <col min="2" max="3" width="15.7109375" customWidth="1"/>
  </cols>
  <sheetData>
    <row r="1" spans="1:3" ht="15" customHeight="1" x14ac:dyDescent="0.2">
      <c r="A1" s="37" t="s">
        <v>0</v>
      </c>
      <c r="B1" s="63" t="s">
        <v>146</v>
      </c>
      <c r="C1" s="14"/>
    </row>
    <row r="2" spans="1:3" ht="15" customHeight="1" x14ac:dyDescent="0.2">
      <c r="A2" s="37" t="s">
        <v>1</v>
      </c>
      <c r="B2" s="64" t="s">
        <v>2</v>
      </c>
      <c r="C2" s="14"/>
    </row>
    <row r="3" spans="1:3" ht="15" customHeight="1" x14ac:dyDescent="0.2">
      <c r="A3" s="37" t="s">
        <v>3</v>
      </c>
      <c r="B3" s="65">
        <v>5</v>
      </c>
      <c r="C3" s="14"/>
    </row>
    <row r="4" spans="1:3" ht="15" customHeight="1" x14ac:dyDescent="0.2">
      <c r="A4" s="38" t="s">
        <v>4</v>
      </c>
      <c r="B4" s="57" t="str">
        <f>IF(B3=1,"4",IF(B3=2,"8",IF(B3=3,"12",IF(B3=4,"16",IF(B3=5,"22",IF(B3=6,"26",IF(B3=7,"30",0)))))))</f>
        <v>22</v>
      </c>
      <c r="C4" s="14"/>
    </row>
    <row r="5" spans="1:3" ht="15" customHeight="1" x14ac:dyDescent="0.2">
      <c r="A5" s="38" t="s">
        <v>5</v>
      </c>
      <c r="B5" s="66">
        <v>0</v>
      </c>
      <c r="C5" s="14"/>
    </row>
    <row r="6" spans="1:3" ht="15" customHeight="1" x14ac:dyDescent="0.2">
      <c r="A6" s="38" t="s">
        <v>6</v>
      </c>
      <c r="B6" s="66">
        <v>8</v>
      </c>
      <c r="C6" s="14"/>
    </row>
    <row r="7" spans="1:3" ht="15" customHeight="1" x14ac:dyDescent="0.2">
      <c r="A7" s="38" t="s">
        <v>7</v>
      </c>
      <c r="B7" s="53">
        <f>B5+B6</f>
        <v>8</v>
      </c>
      <c r="C7" s="14"/>
    </row>
    <row r="8" spans="1:3" ht="15" customHeight="1" x14ac:dyDescent="0.2">
      <c r="A8" s="16" t="s">
        <v>8</v>
      </c>
      <c r="B8" s="67" t="s">
        <v>123</v>
      </c>
      <c r="C8" s="14"/>
    </row>
    <row r="9" spans="1:3" ht="15" customHeight="1" x14ac:dyDescent="0.2">
      <c r="A9" s="37" t="s">
        <v>9</v>
      </c>
      <c r="B9" s="64" t="s">
        <v>124</v>
      </c>
      <c r="C9" s="14"/>
    </row>
    <row r="10" spans="1:3" ht="15" customHeight="1" x14ac:dyDescent="0.2">
      <c r="A10" s="37" t="s">
        <v>10</v>
      </c>
      <c r="B10" s="68">
        <v>12</v>
      </c>
      <c r="C10" s="14"/>
    </row>
    <row r="11" spans="1:3" ht="15" customHeight="1" x14ac:dyDescent="0.2">
      <c r="A11" s="55" t="s">
        <v>11</v>
      </c>
      <c r="B11" s="67" t="s">
        <v>125</v>
      </c>
      <c r="C11" s="14"/>
    </row>
    <row r="12" spans="1:3" ht="15" customHeight="1" x14ac:dyDescent="0.2">
      <c r="A12" s="37" t="s">
        <v>12</v>
      </c>
      <c r="B12" s="67" t="s">
        <v>144</v>
      </c>
      <c r="C12" s="14"/>
    </row>
    <row r="13" spans="1:3" ht="15" customHeight="1" x14ac:dyDescent="0.2">
      <c r="A13" s="37" t="s">
        <v>13</v>
      </c>
      <c r="B13" s="82" t="s">
        <v>141</v>
      </c>
      <c r="C13" s="14"/>
    </row>
    <row r="14" spans="1:3" ht="15" customHeight="1" x14ac:dyDescent="0.2">
      <c r="A14" s="37" t="s">
        <v>14</v>
      </c>
      <c r="B14" s="83">
        <v>44927</v>
      </c>
      <c r="C14" s="14"/>
    </row>
    <row r="15" spans="1:3" ht="15" customHeight="1" x14ac:dyDescent="0.2">
      <c r="A15" s="16" t="s">
        <v>15</v>
      </c>
      <c r="B15" s="100">
        <v>1431.04</v>
      </c>
      <c r="C15" s="14"/>
    </row>
    <row r="16" spans="1:3" ht="15" customHeight="1" x14ac:dyDescent="0.2">
      <c r="A16" s="38" t="s">
        <v>16</v>
      </c>
      <c r="B16" s="70">
        <v>4.8</v>
      </c>
      <c r="C16" s="14"/>
    </row>
    <row r="17" spans="1:3" ht="15" customHeight="1" x14ac:dyDescent="0.2">
      <c r="A17" s="17" t="s">
        <v>17</v>
      </c>
      <c r="B17" s="71">
        <v>0.06</v>
      </c>
      <c r="C17" s="14"/>
    </row>
    <row r="18" spans="1:3" ht="15" customHeight="1" x14ac:dyDescent="0.2">
      <c r="A18" s="17" t="s">
        <v>18</v>
      </c>
      <c r="B18" s="56">
        <f>B4*2</f>
        <v>44</v>
      </c>
      <c r="C18" s="14"/>
    </row>
    <row r="19" spans="1:3" ht="15" customHeight="1" x14ac:dyDescent="0.2">
      <c r="A19" s="38" t="s">
        <v>19</v>
      </c>
      <c r="B19" s="69">
        <v>22</v>
      </c>
      <c r="C19" s="14"/>
    </row>
    <row r="20" spans="1:3" ht="15" customHeight="1" x14ac:dyDescent="0.2">
      <c r="A20" s="17" t="s">
        <v>20</v>
      </c>
      <c r="B20" s="72">
        <v>0.19</v>
      </c>
      <c r="C20" s="14"/>
    </row>
    <row r="21" spans="1:3" ht="15" customHeight="1" x14ac:dyDescent="0.2">
      <c r="A21" s="17" t="s">
        <v>21</v>
      </c>
      <c r="B21" s="56" t="str">
        <f>B4</f>
        <v>22</v>
      </c>
      <c r="C21" s="14"/>
    </row>
    <row r="22" spans="1:3" ht="15" customHeight="1" x14ac:dyDescent="0.2">
      <c r="A22" s="38" t="s">
        <v>22</v>
      </c>
      <c r="B22" s="70">
        <v>12</v>
      </c>
      <c r="C22" s="14"/>
    </row>
    <row r="23" spans="1:3" ht="15" customHeight="1" x14ac:dyDescent="0.2">
      <c r="A23" s="38" t="s">
        <v>23</v>
      </c>
      <c r="B23" s="70">
        <v>18.5</v>
      </c>
      <c r="C23" s="14"/>
    </row>
    <row r="24" spans="1:3" ht="15" customHeight="1" x14ac:dyDescent="0.2">
      <c r="A24" s="38" t="s">
        <v>24</v>
      </c>
      <c r="B24" s="70">
        <v>120</v>
      </c>
      <c r="C24" s="14"/>
    </row>
    <row r="25" spans="1:3" ht="15" customHeight="1" x14ac:dyDescent="0.2">
      <c r="A25" s="16" t="s">
        <v>25</v>
      </c>
      <c r="B25" s="73">
        <v>0.2</v>
      </c>
      <c r="C25" s="14"/>
    </row>
    <row r="26" spans="1:3" ht="15" customHeight="1" x14ac:dyDescent="0.2">
      <c r="A26" s="16" t="s">
        <v>26</v>
      </c>
      <c r="B26" s="73">
        <f>B45</f>
        <v>0.2</v>
      </c>
      <c r="C26" s="14"/>
    </row>
    <row r="27" spans="1:3" ht="15" customHeight="1" x14ac:dyDescent="0.2">
      <c r="A27" s="16" t="s">
        <v>27</v>
      </c>
      <c r="B27" s="73">
        <v>0</v>
      </c>
      <c r="C27" s="14"/>
    </row>
    <row r="28" spans="1:3" ht="15" customHeight="1" x14ac:dyDescent="0.2">
      <c r="A28" s="61"/>
      <c r="B28" s="62"/>
      <c r="C28" s="14"/>
    </row>
    <row r="29" spans="1:3" ht="15" customHeight="1" x14ac:dyDescent="0.2">
      <c r="A29" s="109" t="s">
        <v>28</v>
      </c>
      <c r="B29" s="109"/>
      <c r="C29" s="14"/>
    </row>
    <row r="30" spans="1:3" ht="15" customHeight="1" x14ac:dyDescent="0.2">
      <c r="A30" s="38" t="s">
        <v>29</v>
      </c>
      <c r="B30" s="53">
        <v>220</v>
      </c>
      <c r="C30" s="14"/>
    </row>
    <row r="31" spans="1:3" ht="15" customHeight="1" x14ac:dyDescent="0.2">
      <c r="A31" s="38" t="s">
        <v>30</v>
      </c>
      <c r="B31" s="53">
        <v>220</v>
      </c>
      <c r="C31" s="14"/>
    </row>
    <row r="32" spans="1:3" ht="15" customHeight="1" x14ac:dyDescent="0.2">
      <c r="A32" s="38" t="s">
        <v>31</v>
      </c>
      <c r="B32" s="58">
        <v>0</v>
      </c>
      <c r="C32" s="14"/>
    </row>
    <row r="33" spans="1:3" ht="15" customHeight="1" x14ac:dyDescent="0.2">
      <c r="A33" s="38" t="s">
        <v>32</v>
      </c>
      <c r="B33" s="54">
        <f>B15/B30</f>
        <v>6.5047272727272727</v>
      </c>
      <c r="C33" s="14"/>
    </row>
    <row r="34" spans="1:3" ht="15" customHeight="1" x14ac:dyDescent="0.2">
      <c r="A34" s="38" t="s">
        <v>33</v>
      </c>
      <c r="B34" s="54">
        <f>B33*B45+B33</f>
        <v>7.8056727272727269</v>
      </c>
      <c r="C34" s="14"/>
    </row>
    <row r="35" spans="1:3" ht="15" customHeight="1" x14ac:dyDescent="0.2">
      <c r="A35" s="38" t="s">
        <v>34</v>
      </c>
      <c r="B35" s="54">
        <f>TRUNC((B15*B43)/B30,2)</f>
        <v>1.3</v>
      </c>
      <c r="C35" s="14"/>
    </row>
    <row r="36" spans="1:3" ht="15" customHeight="1" x14ac:dyDescent="0.2">
      <c r="A36" s="110"/>
      <c r="B36" s="110"/>
      <c r="C36" s="18"/>
    </row>
    <row r="37" spans="1:3" ht="15" customHeight="1" x14ac:dyDescent="0.2">
      <c r="A37" s="111" t="s">
        <v>35</v>
      </c>
      <c r="B37" s="111"/>
      <c r="C37" s="97" t="str">
        <f>B8</f>
        <v>A</v>
      </c>
    </row>
    <row r="38" spans="1:3" ht="15" customHeight="1" x14ac:dyDescent="0.2">
      <c r="A38" s="15"/>
      <c r="B38" s="15"/>
      <c r="C38" s="15"/>
    </row>
    <row r="39" spans="1:3" ht="15" customHeight="1" x14ac:dyDescent="0.2">
      <c r="A39" s="20" t="s">
        <v>36</v>
      </c>
      <c r="B39" s="19"/>
      <c r="C39" s="19"/>
    </row>
    <row r="40" spans="1:3" ht="15" customHeight="1" x14ac:dyDescent="0.2">
      <c r="A40" s="13" t="s">
        <v>37</v>
      </c>
      <c r="B40" s="52" t="s">
        <v>38</v>
      </c>
      <c r="C40" s="43" t="s">
        <v>39</v>
      </c>
    </row>
    <row r="41" spans="1:3" ht="15" customHeight="1" x14ac:dyDescent="0.2">
      <c r="A41" s="16" t="s">
        <v>40</v>
      </c>
      <c r="B41" s="1"/>
      <c r="C41" s="10">
        <f>TRUNC(IF(B31&lt;=220,(B33*B31),B15),2)</f>
        <v>1431.04</v>
      </c>
    </row>
    <row r="42" spans="1:3" ht="15" customHeight="1" x14ac:dyDescent="0.2">
      <c r="A42" s="16" t="s">
        <v>41</v>
      </c>
      <c r="B42" s="1"/>
      <c r="C42" s="10">
        <v>0</v>
      </c>
    </row>
    <row r="43" spans="1:3" ht="15" customHeight="1" x14ac:dyDescent="0.2">
      <c r="A43" s="16" t="s">
        <v>25</v>
      </c>
      <c r="B43" s="1">
        <f>B25</f>
        <v>0.2</v>
      </c>
      <c r="C43" s="10">
        <f>TRUNC(((B5*B4)*B35),2)</f>
        <v>0</v>
      </c>
    </row>
    <row r="44" spans="1:3" ht="15" customHeight="1" x14ac:dyDescent="0.2">
      <c r="A44" s="16" t="s">
        <v>42</v>
      </c>
      <c r="B44" s="1"/>
      <c r="C44" s="10">
        <f>TRUNC((((B5*1.142857)-B5)*B4)*(B33+B35),2)</f>
        <v>0</v>
      </c>
    </row>
    <row r="45" spans="1:3" ht="15" customHeight="1" x14ac:dyDescent="0.2">
      <c r="A45" s="16" t="s">
        <v>26</v>
      </c>
      <c r="B45" s="1">
        <v>0.2</v>
      </c>
      <c r="C45" s="10">
        <f>B15*B45</f>
        <v>286.20800000000003</v>
      </c>
    </row>
    <row r="46" spans="1:3" ht="15" customHeight="1" x14ac:dyDescent="0.2">
      <c r="A46" s="16" t="s">
        <v>27</v>
      </c>
      <c r="B46" s="1">
        <f>B27</f>
        <v>0</v>
      </c>
      <c r="C46" s="10">
        <f>TRUNC(B46*B15,2)</f>
        <v>0</v>
      </c>
    </row>
    <row r="47" spans="1:3" ht="15" customHeight="1" x14ac:dyDescent="0.2">
      <c r="A47" s="38" t="s">
        <v>43</v>
      </c>
      <c r="B47" s="1"/>
      <c r="C47" s="10">
        <f>TRUNC((C42+C43+C44)*20%,2)</f>
        <v>0</v>
      </c>
    </row>
    <row r="48" spans="1:3" ht="15" customHeight="1" x14ac:dyDescent="0.2">
      <c r="A48" s="44" t="s">
        <v>44</v>
      </c>
      <c r="B48" s="1"/>
      <c r="C48" s="10">
        <f>SUM(C41:C47)</f>
        <v>1717.248</v>
      </c>
    </row>
    <row r="49" spans="1:3" ht="15" customHeight="1" x14ac:dyDescent="0.2">
      <c r="A49" s="41" t="s">
        <v>45</v>
      </c>
      <c r="B49" s="2"/>
      <c r="C49" s="35">
        <f>C48</f>
        <v>1717.248</v>
      </c>
    </row>
    <row r="50" spans="1:3" ht="15" customHeight="1" x14ac:dyDescent="0.2">
      <c r="A50" s="23"/>
      <c r="B50" s="24"/>
      <c r="C50" s="22"/>
    </row>
    <row r="51" spans="1:3" ht="15" customHeight="1" x14ac:dyDescent="0.2">
      <c r="A51" s="25" t="s">
        <v>46</v>
      </c>
      <c r="B51" s="24"/>
      <c r="C51" s="22"/>
    </row>
    <row r="52" spans="1:3" ht="25.5" x14ac:dyDescent="0.2">
      <c r="A52" s="13" t="s">
        <v>47</v>
      </c>
      <c r="B52" s="42" t="s">
        <v>48</v>
      </c>
      <c r="C52" s="43" t="s">
        <v>39</v>
      </c>
    </row>
    <row r="53" spans="1:3" ht="15" customHeight="1" x14ac:dyDescent="0.2">
      <c r="A53" s="12" t="s">
        <v>49</v>
      </c>
      <c r="B53" s="2">
        <f>C53/C49</f>
        <v>7.2983051952892064E-2</v>
      </c>
      <c r="C53" s="9">
        <f>TRUNC(IF(B31&gt;=B30,(B16*B18)-(B15*B17),(B16*B18)-(C41*B17)),2)</f>
        <v>125.33</v>
      </c>
    </row>
    <row r="54" spans="1:3" ht="15" customHeight="1" x14ac:dyDescent="0.2">
      <c r="A54" s="50" t="s">
        <v>50</v>
      </c>
      <c r="B54" s="2">
        <f>C54/C$49</f>
        <v>0.2282955053667263</v>
      </c>
      <c r="C54" s="51">
        <f>TRUNC((B19*B21)*(100%-B20),2)</f>
        <v>392.04</v>
      </c>
    </row>
    <row r="55" spans="1:3" ht="15" customHeight="1" x14ac:dyDescent="0.2">
      <c r="A55" s="12" t="s">
        <v>51</v>
      </c>
      <c r="B55" s="2">
        <f>C55/C$49</f>
        <v>5.8232707215265353E-4</v>
      </c>
      <c r="C55" s="9">
        <f>B22/12</f>
        <v>1</v>
      </c>
    </row>
    <row r="56" spans="1:3" ht="15" customHeight="1" x14ac:dyDescent="0.2">
      <c r="A56" s="12" t="s">
        <v>52</v>
      </c>
      <c r="B56" s="2">
        <f>C56/C$49</f>
        <v>1.0773050834824091E-2</v>
      </c>
      <c r="C56" s="9">
        <f>B23</f>
        <v>18.5</v>
      </c>
    </row>
    <row r="57" spans="1:3" ht="15" customHeight="1" x14ac:dyDescent="0.2">
      <c r="A57" s="47" t="s">
        <v>53</v>
      </c>
      <c r="B57" s="2">
        <f>C57/C$49</f>
        <v>5.8232707215265357E-3</v>
      </c>
      <c r="C57" s="9">
        <f>B24/12</f>
        <v>10</v>
      </c>
    </row>
    <row r="58" spans="1:3" ht="15" customHeight="1" x14ac:dyDescent="0.2">
      <c r="A58" s="41" t="s">
        <v>54</v>
      </c>
      <c r="B58" s="3">
        <f>SUM(B53:B57)</f>
        <v>0.31845720594812171</v>
      </c>
      <c r="C58" s="8">
        <f>SUM(C53:C57)</f>
        <v>546.87</v>
      </c>
    </row>
    <row r="59" spans="1:3" ht="15" customHeight="1" x14ac:dyDescent="0.2">
      <c r="A59" s="15"/>
      <c r="B59" s="26"/>
      <c r="C59" s="27"/>
    </row>
    <row r="60" spans="1:3" ht="15" customHeight="1" x14ac:dyDescent="0.2">
      <c r="A60" s="25" t="s">
        <v>55</v>
      </c>
      <c r="B60" s="24"/>
      <c r="C60" s="22"/>
    </row>
    <row r="61" spans="1:3" ht="25.5" x14ac:dyDescent="0.2">
      <c r="A61" s="13" t="s">
        <v>47</v>
      </c>
      <c r="B61" s="42" t="s">
        <v>48</v>
      </c>
      <c r="C61" s="43" t="s">
        <v>39</v>
      </c>
    </row>
    <row r="62" spans="1:3" ht="15" customHeight="1" x14ac:dyDescent="0.2">
      <c r="A62" s="12" t="s">
        <v>56</v>
      </c>
      <c r="B62" s="2">
        <f>C62/C$49</f>
        <v>9.5991608579228116E-3</v>
      </c>
      <c r="C62" s="101">
        <f>([1]EPI!$E$7/30)+([1]Insumos!$E$10/31)</f>
        <v>16.484139784946233</v>
      </c>
    </row>
    <row r="63" spans="1:3" ht="15" customHeight="1" x14ac:dyDescent="0.2">
      <c r="A63" s="44" t="s">
        <v>57</v>
      </c>
      <c r="B63" s="4">
        <f>SUM(B62:B62)</f>
        <v>9.5991608579228116E-3</v>
      </c>
      <c r="C63" s="34">
        <f>SUM(C62:C62)</f>
        <v>16.484139784946233</v>
      </c>
    </row>
    <row r="64" spans="1:3" ht="15" customHeight="1" x14ac:dyDescent="0.2">
      <c r="A64" s="23"/>
      <c r="B64" s="24"/>
      <c r="C64" s="22"/>
    </row>
    <row r="65" spans="1:3" ht="15" customHeight="1" x14ac:dyDescent="0.2">
      <c r="A65" s="29" t="s">
        <v>58</v>
      </c>
      <c r="B65" s="15"/>
      <c r="C65" s="15"/>
    </row>
    <row r="66" spans="1:3" ht="15" customHeight="1" x14ac:dyDescent="0.2">
      <c r="A66" s="29" t="s">
        <v>59</v>
      </c>
      <c r="B66" s="15"/>
      <c r="C66" s="15"/>
    </row>
    <row r="67" spans="1:3" ht="15" customHeight="1" x14ac:dyDescent="0.2">
      <c r="A67" s="13" t="s">
        <v>60</v>
      </c>
      <c r="B67" s="46" t="s">
        <v>38</v>
      </c>
      <c r="C67" s="43" t="s">
        <v>39</v>
      </c>
    </row>
    <row r="68" spans="1:3" ht="15" customHeight="1" x14ac:dyDescent="0.2">
      <c r="A68" s="16" t="s">
        <v>61</v>
      </c>
      <c r="B68" s="1">
        <v>0.2</v>
      </c>
      <c r="C68" s="10">
        <f t="shared" ref="C68:C75" si="0">TRUNC($C$49*B68,2)</f>
        <v>343.44</v>
      </c>
    </row>
    <row r="69" spans="1:3" ht="15" customHeight="1" x14ac:dyDescent="0.2">
      <c r="A69" s="16" t="s">
        <v>62</v>
      </c>
      <c r="B69" s="1">
        <v>0</v>
      </c>
      <c r="C69" s="10">
        <f t="shared" si="0"/>
        <v>0</v>
      </c>
    </row>
    <row r="70" spans="1:3" ht="15" customHeight="1" x14ac:dyDescent="0.2">
      <c r="A70" s="16" t="s">
        <v>63</v>
      </c>
      <c r="B70" s="1">
        <v>0</v>
      </c>
      <c r="C70" s="10">
        <f t="shared" si="0"/>
        <v>0</v>
      </c>
    </row>
    <row r="71" spans="1:3" ht="15" customHeight="1" x14ac:dyDescent="0.2">
      <c r="A71" s="16" t="s">
        <v>64</v>
      </c>
      <c r="B71" s="1">
        <v>0</v>
      </c>
      <c r="C71" s="10">
        <f t="shared" si="0"/>
        <v>0</v>
      </c>
    </row>
    <row r="72" spans="1:3" ht="15" customHeight="1" x14ac:dyDescent="0.2">
      <c r="A72" s="16" t="s">
        <v>65</v>
      </c>
      <c r="B72" s="1">
        <v>0</v>
      </c>
      <c r="C72" s="10">
        <f t="shared" si="0"/>
        <v>0</v>
      </c>
    </row>
    <row r="73" spans="1:3" ht="15" customHeight="1" x14ac:dyDescent="0.2">
      <c r="A73" s="16" t="s">
        <v>145</v>
      </c>
      <c r="B73" s="5">
        <v>0.01</v>
      </c>
      <c r="C73" s="10">
        <f t="shared" si="0"/>
        <v>17.170000000000002</v>
      </c>
    </row>
    <row r="74" spans="1:3" ht="15" customHeight="1" x14ac:dyDescent="0.2">
      <c r="A74" s="16" t="s">
        <v>66</v>
      </c>
      <c r="B74" s="1">
        <v>0.08</v>
      </c>
      <c r="C74" s="10">
        <f t="shared" si="0"/>
        <v>137.37</v>
      </c>
    </row>
    <row r="75" spans="1:3" ht="15" customHeight="1" x14ac:dyDescent="0.2">
      <c r="A75" s="16" t="s">
        <v>67</v>
      </c>
      <c r="B75" s="1">
        <v>0</v>
      </c>
      <c r="C75" s="10">
        <f t="shared" si="0"/>
        <v>0</v>
      </c>
    </row>
    <row r="76" spans="1:3" ht="15" customHeight="1" x14ac:dyDescent="0.2">
      <c r="A76" s="44" t="s">
        <v>68</v>
      </c>
      <c r="B76" s="4">
        <f>SUM(B68:B75)</f>
        <v>0.29000000000000004</v>
      </c>
      <c r="C76" s="34">
        <f>SUM(C68:C75)</f>
        <v>497.98</v>
      </c>
    </row>
    <row r="77" spans="1:3" ht="15" customHeight="1" x14ac:dyDescent="0.2">
      <c r="A77" s="23"/>
      <c r="B77" s="22"/>
      <c r="C77" s="22"/>
    </row>
    <row r="78" spans="1:3" ht="15" customHeight="1" x14ac:dyDescent="0.2">
      <c r="A78" s="25" t="s">
        <v>69</v>
      </c>
      <c r="B78" s="22"/>
      <c r="C78" s="22"/>
    </row>
    <row r="79" spans="1:3" ht="15" customHeight="1" x14ac:dyDescent="0.2">
      <c r="A79" s="13" t="s">
        <v>60</v>
      </c>
      <c r="B79" s="46" t="s">
        <v>38</v>
      </c>
      <c r="C79" s="43" t="s">
        <v>39</v>
      </c>
    </row>
    <row r="80" spans="1:3" ht="15" customHeight="1" x14ac:dyDescent="0.2">
      <c r="A80" s="16" t="s">
        <v>70</v>
      </c>
      <c r="B80" s="1">
        <v>2.7799999999999998E-2</v>
      </c>
      <c r="C80" s="10">
        <f>TRUNC($C$49*B80,2)</f>
        <v>47.73</v>
      </c>
    </row>
    <row r="81" spans="1:3" ht="15" customHeight="1" x14ac:dyDescent="0.2">
      <c r="A81" s="40" t="s">
        <v>71</v>
      </c>
      <c r="B81" s="1">
        <v>8.3299999999999999E-2</v>
      </c>
      <c r="C81" s="10">
        <f>TRUNC($C$49*B81,2)</f>
        <v>143.04</v>
      </c>
    </row>
    <row r="82" spans="1:3" ht="15" customHeight="1" x14ac:dyDescent="0.2">
      <c r="A82" s="44" t="s">
        <v>72</v>
      </c>
      <c r="B82" s="4">
        <f>B80+B81</f>
        <v>0.1111</v>
      </c>
      <c r="C82" s="34">
        <f>SUM(C80:C81)</f>
        <v>190.76999999999998</v>
      </c>
    </row>
    <row r="83" spans="1:3" ht="15" customHeight="1" x14ac:dyDescent="0.2">
      <c r="A83" s="47" t="s">
        <v>73</v>
      </c>
      <c r="B83" s="1">
        <f>B82*B76</f>
        <v>3.2219000000000005E-2</v>
      </c>
      <c r="C83" s="10">
        <f>TRUNC($C$49*B83,2)</f>
        <v>55.32</v>
      </c>
    </row>
    <row r="84" spans="1:3" ht="15" customHeight="1" x14ac:dyDescent="0.2">
      <c r="A84" s="41" t="s">
        <v>74</v>
      </c>
      <c r="B84" s="4">
        <f>B82+B83</f>
        <v>0.143319</v>
      </c>
      <c r="C84" s="34">
        <f>C82+C83</f>
        <v>246.08999999999997</v>
      </c>
    </row>
    <row r="85" spans="1:3" ht="15" customHeight="1" x14ac:dyDescent="0.2">
      <c r="A85" s="15"/>
      <c r="B85" s="30"/>
      <c r="C85" s="30"/>
    </row>
    <row r="86" spans="1:3" ht="15" customHeight="1" x14ac:dyDescent="0.2">
      <c r="A86" s="25" t="s">
        <v>75</v>
      </c>
      <c r="B86" s="22"/>
      <c r="C86" s="22"/>
    </row>
    <row r="87" spans="1:3" ht="15" customHeight="1" x14ac:dyDescent="0.2">
      <c r="A87" s="49" t="s">
        <v>60</v>
      </c>
      <c r="B87" s="46" t="s">
        <v>38</v>
      </c>
      <c r="C87" s="43" t="s">
        <v>39</v>
      </c>
    </row>
    <row r="88" spans="1:3" ht="15" customHeight="1" x14ac:dyDescent="0.2">
      <c r="A88" s="40" t="s">
        <v>76</v>
      </c>
      <c r="B88" s="1">
        <v>2.9999999999999997E-4</v>
      </c>
      <c r="C88" s="10">
        <f>TRUNC($C$49*B88,2)</f>
        <v>0.51</v>
      </c>
    </row>
    <row r="89" spans="1:3" ht="15" customHeight="1" x14ac:dyDescent="0.2">
      <c r="A89" s="47" t="s">
        <v>77</v>
      </c>
      <c r="B89" s="1">
        <f>B88*B76</f>
        <v>8.7000000000000001E-5</v>
      </c>
      <c r="C89" s="10">
        <f>TRUNC($C$49*B89,2)</f>
        <v>0.14000000000000001</v>
      </c>
    </row>
    <row r="90" spans="1:3" ht="15" customHeight="1" x14ac:dyDescent="0.2">
      <c r="A90" s="39" t="s">
        <v>78</v>
      </c>
      <c r="B90" s="4">
        <f>B88+B89</f>
        <v>3.8699999999999997E-4</v>
      </c>
      <c r="C90" s="34">
        <f>SUM(C88:C89)</f>
        <v>0.65</v>
      </c>
    </row>
    <row r="91" spans="1:3" ht="15" customHeight="1" x14ac:dyDescent="0.2">
      <c r="A91" s="31"/>
      <c r="B91" s="28"/>
      <c r="C91" s="28"/>
    </row>
    <row r="92" spans="1:3" ht="15" customHeight="1" x14ac:dyDescent="0.2">
      <c r="A92" s="20" t="s">
        <v>79</v>
      </c>
      <c r="B92" s="28"/>
      <c r="C92" s="28"/>
    </row>
    <row r="93" spans="1:3" ht="15" customHeight="1" x14ac:dyDescent="0.2">
      <c r="A93" s="13" t="s">
        <v>60</v>
      </c>
      <c r="B93" s="46" t="s">
        <v>38</v>
      </c>
      <c r="C93" s="43" t="s">
        <v>39</v>
      </c>
    </row>
    <row r="94" spans="1:3" ht="15" customHeight="1" x14ac:dyDescent="0.2">
      <c r="A94" s="40" t="s">
        <v>80</v>
      </c>
      <c r="B94" s="1">
        <v>4.1999999999999997E-3</v>
      </c>
      <c r="C94" s="10">
        <f t="shared" ref="C94:C102" si="1">TRUNC($C$49*B94,2)</f>
        <v>7.21</v>
      </c>
    </row>
    <row r="95" spans="1:3" ht="15" customHeight="1" x14ac:dyDescent="0.2">
      <c r="A95" s="40" t="s">
        <v>81</v>
      </c>
      <c r="B95" s="1">
        <f>B94*B74</f>
        <v>3.3599999999999998E-4</v>
      </c>
      <c r="C95" s="10">
        <f t="shared" si="1"/>
        <v>0.56999999999999995</v>
      </c>
    </row>
    <row r="96" spans="1:3" ht="15" customHeight="1" x14ac:dyDescent="0.2">
      <c r="A96" s="40" t="s">
        <v>82</v>
      </c>
      <c r="B96" s="1">
        <f>B95*50%</f>
        <v>1.6799999999999999E-4</v>
      </c>
      <c r="C96" s="10">
        <f t="shared" si="1"/>
        <v>0.28000000000000003</v>
      </c>
    </row>
    <row r="97" spans="1:3" ht="15" customHeight="1" x14ac:dyDescent="0.2">
      <c r="A97" s="48" t="s">
        <v>83</v>
      </c>
      <c r="B97" s="1">
        <v>3.3599999999999998E-2</v>
      </c>
      <c r="C97" s="10">
        <f t="shared" si="1"/>
        <v>57.69</v>
      </c>
    </row>
    <row r="98" spans="1:3" ht="15" customHeight="1" x14ac:dyDescent="0.2">
      <c r="A98" s="40" t="s">
        <v>84</v>
      </c>
      <c r="B98" s="1">
        <v>4.0000000000000002E-4</v>
      </c>
      <c r="C98" s="10">
        <f t="shared" si="1"/>
        <v>0.68</v>
      </c>
    </row>
    <row r="99" spans="1:3" ht="15" customHeight="1" x14ac:dyDescent="0.2">
      <c r="A99" s="40" t="s">
        <v>85</v>
      </c>
      <c r="B99" s="1">
        <v>1.9400000000000001E-2</v>
      </c>
      <c r="C99" s="10">
        <f t="shared" si="1"/>
        <v>33.31</v>
      </c>
    </row>
    <row r="100" spans="1:3" ht="15" customHeight="1" x14ac:dyDescent="0.2">
      <c r="A100" s="40" t="s">
        <v>86</v>
      </c>
      <c r="B100" s="1">
        <f>(B98+B99)*B76</f>
        <v>5.7420000000000014E-3</v>
      </c>
      <c r="C100" s="10">
        <f t="shared" si="1"/>
        <v>9.86</v>
      </c>
    </row>
    <row r="101" spans="1:3" ht="15" customHeight="1" x14ac:dyDescent="0.2">
      <c r="A101" s="40" t="s">
        <v>87</v>
      </c>
      <c r="B101" s="1">
        <f>(B98+B99)*B74*50%</f>
        <v>7.9200000000000006E-4</v>
      </c>
      <c r="C101" s="10">
        <f t="shared" si="1"/>
        <v>1.36</v>
      </c>
    </row>
    <row r="102" spans="1:3" ht="15" customHeight="1" x14ac:dyDescent="0.2">
      <c r="A102" s="40" t="s">
        <v>88</v>
      </c>
      <c r="B102" s="1">
        <v>8.0000000000000004E-4</v>
      </c>
      <c r="C102" s="10">
        <f t="shared" si="1"/>
        <v>1.37</v>
      </c>
    </row>
    <row r="103" spans="1:3" ht="15" customHeight="1" x14ac:dyDescent="0.2">
      <c r="A103" s="39" t="s">
        <v>89</v>
      </c>
      <c r="B103" s="4">
        <f>SUM(B94:B102)</f>
        <v>6.5437999999999996E-2</v>
      </c>
      <c r="C103" s="34">
        <f>SUM(C94:C102)</f>
        <v>112.33000000000001</v>
      </c>
    </row>
    <row r="104" spans="1:3" ht="15" customHeight="1" x14ac:dyDescent="0.2">
      <c r="A104" s="31"/>
      <c r="B104" s="28"/>
      <c r="C104" s="28"/>
    </row>
    <row r="105" spans="1:3" ht="15" customHeight="1" x14ac:dyDescent="0.2">
      <c r="A105" s="20" t="s">
        <v>90</v>
      </c>
      <c r="B105" s="28"/>
      <c r="C105" s="28"/>
    </row>
    <row r="106" spans="1:3" ht="15" customHeight="1" x14ac:dyDescent="0.2">
      <c r="A106" s="13" t="s">
        <v>60</v>
      </c>
      <c r="B106" s="46" t="s">
        <v>38</v>
      </c>
      <c r="C106" s="43" t="s">
        <v>39</v>
      </c>
    </row>
    <row r="107" spans="1:3" ht="15" customHeight="1" x14ac:dyDescent="0.2">
      <c r="A107" s="12" t="s">
        <v>91</v>
      </c>
      <c r="B107" s="1">
        <v>8.3299999999999999E-2</v>
      </c>
      <c r="C107" s="10">
        <f>TRUNC($C$49*B107,2)</f>
        <v>143.04</v>
      </c>
    </row>
    <row r="108" spans="1:3" ht="15" customHeight="1" x14ac:dyDescent="0.2">
      <c r="A108" s="12" t="s">
        <v>92</v>
      </c>
      <c r="B108" s="1">
        <v>1.3899999999999999E-2</v>
      </c>
      <c r="C108" s="10">
        <f>TRUNC($C$49*B108,2)</f>
        <v>23.86</v>
      </c>
    </row>
    <row r="109" spans="1:3" ht="15" customHeight="1" x14ac:dyDescent="0.2">
      <c r="A109" s="12" t="s">
        <v>93</v>
      </c>
      <c r="B109" s="1">
        <v>2.0000000000000001E-4</v>
      </c>
      <c r="C109" s="10">
        <f>TRUNC($C$49*B109,2)</f>
        <v>0.34</v>
      </c>
    </row>
    <row r="110" spans="1:3" ht="15" customHeight="1" x14ac:dyDescent="0.2">
      <c r="A110" s="12" t="s">
        <v>94</v>
      </c>
      <c r="B110" s="1">
        <v>2.8E-3</v>
      </c>
      <c r="C110" s="10">
        <f>TRUNC($C$49*B110,2)</f>
        <v>4.8</v>
      </c>
    </row>
    <row r="111" spans="1:3" ht="15" customHeight="1" x14ac:dyDescent="0.2">
      <c r="A111" s="12" t="s">
        <v>95</v>
      </c>
      <c r="B111" s="1">
        <v>2.9999999999999997E-4</v>
      </c>
      <c r="C111" s="10">
        <f>TRUNC($C$49*B111,2)</f>
        <v>0.51</v>
      </c>
    </row>
    <row r="112" spans="1:3" ht="15" customHeight="1" x14ac:dyDescent="0.2">
      <c r="A112" s="41" t="s">
        <v>96</v>
      </c>
      <c r="B112" s="3">
        <f>SUM(B107:B111)</f>
        <v>0.10049999999999999</v>
      </c>
      <c r="C112" s="34">
        <f>SUM(C107:C111)</f>
        <v>172.54999999999998</v>
      </c>
    </row>
    <row r="113" spans="1:3" ht="15" customHeight="1" x14ac:dyDescent="0.2">
      <c r="A113" s="47" t="s">
        <v>97</v>
      </c>
      <c r="B113" s="2">
        <f>B112*B76</f>
        <v>2.9145000000000001E-2</v>
      </c>
      <c r="C113" s="10">
        <f>TRUNC($C$49*B113,2)</f>
        <v>50.04</v>
      </c>
    </row>
    <row r="114" spans="1:3" ht="15" customHeight="1" x14ac:dyDescent="0.2">
      <c r="A114" s="41" t="s">
        <v>98</v>
      </c>
      <c r="B114" s="3">
        <f>B112+B113</f>
        <v>0.12964499999999998</v>
      </c>
      <c r="C114" s="34">
        <f>C112+C113</f>
        <v>222.58999999999997</v>
      </c>
    </row>
    <row r="115" spans="1:3" ht="15" customHeight="1" x14ac:dyDescent="0.2">
      <c r="A115" s="15"/>
      <c r="B115" s="15"/>
      <c r="C115" s="15"/>
    </row>
    <row r="116" spans="1:3" ht="15" customHeight="1" x14ac:dyDescent="0.2">
      <c r="A116" s="25" t="s">
        <v>99</v>
      </c>
      <c r="B116" s="28"/>
      <c r="C116" s="28"/>
    </row>
    <row r="117" spans="1:3" ht="15" customHeight="1" x14ac:dyDescent="0.2">
      <c r="A117" s="13" t="s">
        <v>100</v>
      </c>
      <c r="B117" s="46" t="s">
        <v>38</v>
      </c>
      <c r="C117" s="43" t="s">
        <v>39</v>
      </c>
    </row>
    <row r="118" spans="1:3" ht="15" customHeight="1" x14ac:dyDescent="0.2">
      <c r="A118" s="16" t="s">
        <v>101</v>
      </c>
      <c r="B118" s="1">
        <f>B76</f>
        <v>0.29000000000000004</v>
      </c>
      <c r="C118" s="36">
        <f>C76</f>
        <v>497.98</v>
      </c>
    </row>
    <row r="119" spans="1:3" ht="15" customHeight="1" x14ac:dyDescent="0.2">
      <c r="A119" s="37" t="s">
        <v>102</v>
      </c>
      <c r="B119" s="1">
        <f>B84</f>
        <v>0.143319</v>
      </c>
      <c r="C119" s="36">
        <f>C84</f>
        <v>246.08999999999997</v>
      </c>
    </row>
    <row r="120" spans="1:3" ht="15" customHeight="1" x14ac:dyDescent="0.2">
      <c r="A120" s="16" t="s">
        <v>103</v>
      </c>
      <c r="B120" s="1">
        <f>B90</f>
        <v>3.8699999999999997E-4</v>
      </c>
      <c r="C120" s="36">
        <f>C90</f>
        <v>0.65</v>
      </c>
    </row>
    <row r="121" spans="1:3" ht="15" customHeight="1" x14ac:dyDescent="0.2">
      <c r="A121" s="16" t="s">
        <v>104</v>
      </c>
      <c r="B121" s="1">
        <f>B103</f>
        <v>6.5437999999999996E-2</v>
      </c>
      <c r="C121" s="36">
        <f>C103</f>
        <v>112.33000000000001</v>
      </c>
    </row>
    <row r="122" spans="1:3" ht="15" customHeight="1" x14ac:dyDescent="0.2">
      <c r="A122" s="38" t="s">
        <v>105</v>
      </c>
      <c r="B122" s="1">
        <f>B114</f>
        <v>0.12964499999999998</v>
      </c>
      <c r="C122" s="36">
        <f>C114</f>
        <v>222.58999999999997</v>
      </c>
    </row>
    <row r="123" spans="1:3" ht="15" customHeight="1" x14ac:dyDescent="0.2">
      <c r="A123" s="44" t="s">
        <v>106</v>
      </c>
      <c r="B123" s="4">
        <f>SUM(B118:B122)</f>
        <v>0.62878900000000004</v>
      </c>
      <c r="C123" s="34">
        <f>SUM(C118:C122)</f>
        <v>1079.6399999999999</v>
      </c>
    </row>
    <row r="124" spans="1:3" ht="15" customHeight="1" x14ac:dyDescent="0.2">
      <c r="A124" s="15"/>
      <c r="B124" s="21"/>
      <c r="C124" s="21"/>
    </row>
    <row r="125" spans="1:3" ht="25.5" x14ac:dyDescent="0.2">
      <c r="A125" s="44" t="s">
        <v>107</v>
      </c>
      <c r="B125" s="33" t="s">
        <v>108</v>
      </c>
      <c r="C125" s="45">
        <f>C49+C58+C63+C123</f>
        <v>3360.2421397849462</v>
      </c>
    </row>
    <row r="126" spans="1:3" ht="15" customHeight="1" x14ac:dyDescent="0.2">
      <c r="A126" s="25"/>
      <c r="B126" s="21"/>
      <c r="C126" s="32"/>
    </row>
    <row r="127" spans="1:3" ht="15" customHeight="1" x14ac:dyDescent="0.2">
      <c r="A127" s="15"/>
      <c r="B127" s="15"/>
      <c r="C127" s="15"/>
    </row>
    <row r="128" spans="1:3" ht="15" customHeight="1" x14ac:dyDescent="0.2">
      <c r="A128" s="15"/>
      <c r="B128" s="15"/>
      <c r="C128" s="15"/>
    </row>
  </sheetData>
  <mergeCells count="3">
    <mergeCell ref="A29:B29"/>
    <mergeCell ref="A36:B36"/>
    <mergeCell ref="A37:B37"/>
  </mergeCells>
  <dataValidations count="1">
    <dataValidation allowBlank="1" showErrorMessage="1" sqref="B32" xr:uid="{5D241FF0-D41B-4232-946E-D6A90E793D12}">
      <formula1>0</formula1>
      <formula2>0</formula2>
    </dataValidation>
  </dataValidations>
  <pageMargins left="0.511811024" right="0.511811024" top="0.78740157499999996" bottom="0.78740157499999996" header="0.31496062000000002" footer="0.31496062000000002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2815B6-F1F5-4699-9752-A6AF8F6DDE1F}">
  <dimension ref="A1:C128"/>
  <sheetViews>
    <sheetView topLeftCell="A55" workbookViewId="0">
      <selection activeCell="B12" sqref="B12"/>
    </sheetView>
  </sheetViews>
  <sheetFormatPr defaultRowHeight="12.75" x14ac:dyDescent="0.2"/>
  <cols>
    <col min="1" max="1" width="67" bestFit="1" customWidth="1"/>
    <col min="2" max="3" width="15.7109375" customWidth="1"/>
  </cols>
  <sheetData>
    <row r="1" spans="1:3" ht="15" customHeight="1" x14ac:dyDescent="0.2">
      <c r="A1" s="37" t="s">
        <v>0</v>
      </c>
      <c r="B1" s="63" t="s">
        <v>139</v>
      </c>
      <c r="C1" s="14"/>
    </row>
    <row r="2" spans="1:3" ht="15" customHeight="1" x14ac:dyDescent="0.2">
      <c r="A2" s="37" t="s">
        <v>1</v>
      </c>
      <c r="B2" s="64" t="s">
        <v>2</v>
      </c>
      <c r="C2" s="14"/>
    </row>
    <row r="3" spans="1:3" ht="15" customHeight="1" x14ac:dyDescent="0.2">
      <c r="A3" s="37" t="s">
        <v>3</v>
      </c>
      <c r="B3" s="65">
        <v>5</v>
      </c>
      <c r="C3" s="14"/>
    </row>
    <row r="4" spans="1:3" ht="15" customHeight="1" x14ac:dyDescent="0.2">
      <c r="A4" s="38" t="s">
        <v>4</v>
      </c>
      <c r="B4" s="57" t="str">
        <f>IF(B3=1,"4",IF(B3=2,"8",IF(B3=3,"12",IF(B3=4,"16",IF(B3=5,"22",IF(B3=6,"26",IF(B3=7,"30",0)))))))</f>
        <v>22</v>
      </c>
      <c r="C4" s="14"/>
    </row>
    <row r="5" spans="1:3" ht="15" customHeight="1" x14ac:dyDescent="0.2">
      <c r="A5" s="38" t="s">
        <v>5</v>
      </c>
      <c r="B5" s="66">
        <v>0</v>
      </c>
      <c r="C5" s="14"/>
    </row>
    <row r="6" spans="1:3" ht="15" customHeight="1" x14ac:dyDescent="0.2">
      <c r="A6" s="38" t="s">
        <v>6</v>
      </c>
      <c r="B6" s="66">
        <v>8</v>
      </c>
      <c r="C6" s="14"/>
    </row>
    <row r="7" spans="1:3" ht="15" customHeight="1" x14ac:dyDescent="0.2">
      <c r="A7" s="38" t="s">
        <v>7</v>
      </c>
      <c r="B7" s="53">
        <f>B5+B6</f>
        <v>8</v>
      </c>
      <c r="C7" s="14"/>
    </row>
    <row r="8" spans="1:3" ht="15" customHeight="1" x14ac:dyDescent="0.2">
      <c r="A8" s="16" t="s">
        <v>8</v>
      </c>
      <c r="B8" s="67" t="s">
        <v>123</v>
      </c>
      <c r="C8" s="14"/>
    </row>
    <row r="9" spans="1:3" ht="15" customHeight="1" x14ac:dyDescent="0.2">
      <c r="A9" s="37" t="s">
        <v>9</v>
      </c>
      <c r="B9" s="64" t="s">
        <v>124</v>
      </c>
      <c r="C9" s="14"/>
    </row>
    <row r="10" spans="1:3" ht="15" customHeight="1" x14ac:dyDescent="0.2">
      <c r="A10" s="37" t="s">
        <v>10</v>
      </c>
      <c r="B10" s="68">
        <v>12</v>
      </c>
      <c r="C10" s="14"/>
    </row>
    <row r="11" spans="1:3" ht="15" customHeight="1" x14ac:dyDescent="0.2">
      <c r="A11" s="55" t="s">
        <v>11</v>
      </c>
      <c r="B11" s="67" t="s">
        <v>125</v>
      </c>
      <c r="C11" s="14"/>
    </row>
    <row r="12" spans="1:3" ht="15" customHeight="1" x14ac:dyDescent="0.2">
      <c r="A12" s="37" t="s">
        <v>12</v>
      </c>
      <c r="B12" s="67" t="s">
        <v>144</v>
      </c>
      <c r="C12" s="14"/>
    </row>
    <row r="13" spans="1:3" ht="15" customHeight="1" x14ac:dyDescent="0.2">
      <c r="A13" s="37" t="s">
        <v>13</v>
      </c>
      <c r="B13" s="82" t="s">
        <v>141</v>
      </c>
      <c r="C13" s="14"/>
    </row>
    <row r="14" spans="1:3" ht="15" customHeight="1" x14ac:dyDescent="0.2">
      <c r="A14" s="37" t="s">
        <v>14</v>
      </c>
      <c r="B14" s="83">
        <v>44927</v>
      </c>
      <c r="C14" s="14"/>
    </row>
    <row r="15" spans="1:3" ht="15" customHeight="1" x14ac:dyDescent="0.2">
      <c r="A15" s="16" t="s">
        <v>15</v>
      </c>
      <c r="B15" s="100">
        <v>1818.36</v>
      </c>
      <c r="C15" s="14"/>
    </row>
    <row r="16" spans="1:3" ht="15" customHeight="1" x14ac:dyDescent="0.2">
      <c r="A16" s="38" t="s">
        <v>16</v>
      </c>
      <c r="B16" s="70">
        <v>4.8</v>
      </c>
      <c r="C16" s="14"/>
    </row>
    <row r="17" spans="1:3" ht="15" customHeight="1" x14ac:dyDescent="0.2">
      <c r="A17" s="17" t="s">
        <v>17</v>
      </c>
      <c r="B17" s="71">
        <v>0.06</v>
      </c>
      <c r="C17" s="14"/>
    </row>
    <row r="18" spans="1:3" ht="15" customHeight="1" x14ac:dyDescent="0.2">
      <c r="A18" s="17" t="s">
        <v>18</v>
      </c>
      <c r="B18" s="56">
        <f>B4*2</f>
        <v>44</v>
      </c>
      <c r="C18" s="14"/>
    </row>
    <row r="19" spans="1:3" ht="15" customHeight="1" x14ac:dyDescent="0.2">
      <c r="A19" s="38" t="s">
        <v>19</v>
      </c>
      <c r="B19" s="69">
        <v>22</v>
      </c>
      <c r="C19" s="14"/>
    </row>
    <row r="20" spans="1:3" ht="15" customHeight="1" x14ac:dyDescent="0.2">
      <c r="A20" s="17" t="s">
        <v>20</v>
      </c>
      <c r="B20" s="72">
        <v>0.19</v>
      </c>
      <c r="C20" s="14"/>
    </row>
    <row r="21" spans="1:3" ht="15" customHeight="1" x14ac:dyDescent="0.2">
      <c r="A21" s="17" t="s">
        <v>21</v>
      </c>
      <c r="B21" s="56" t="str">
        <f>B4</f>
        <v>22</v>
      </c>
      <c r="C21" s="14"/>
    </row>
    <row r="22" spans="1:3" ht="15" customHeight="1" x14ac:dyDescent="0.2">
      <c r="A22" s="38" t="s">
        <v>22</v>
      </c>
      <c r="B22" s="70">
        <v>12</v>
      </c>
      <c r="C22" s="14"/>
    </row>
    <row r="23" spans="1:3" ht="15" customHeight="1" x14ac:dyDescent="0.2">
      <c r="A23" s="38" t="s">
        <v>23</v>
      </c>
      <c r="B23" s="70">
        <v>18.5</v>
      </c>
      <c r="C23" s="14"/>
    </row>
    <row r="24" spans="1:3" ht="15" customHeight="1" x14ac:dyDescent="0.2">
      <c r="A24" s="38" t="s">
        <v>24</v>
      </c>
      <c r="B24" s="70">
        <v>120</v>
      </c>
      <c r="C24" s="14"/>
    </row>
    <row r="25" spans="1:3" ht="15" customHeight="1" x14ac:dyDescent="0.2">
      <c r="A25" s="16" t="s">
        <v>25</v>
      </c>
      <c r="B25" s="73">
        <v>0.2</v>
      </c>
      <c r="C25" s="14"/>
    </row>
    <row r="26" spans="1:3" ht="15" customHeight="1" x14ac:dyDescent="0.2">
      <c r="A26" s="16" t="s">
        <v>26</v>
      </c>
      <c r="B26" s="73">
        <v>0.2</v>
      </c>
      <c r="C26" s="14"/>
    </row>
    <row r="27" spans="1:3" ht="15" customHeight="1" x14ac:dyDescent="0.2">
      <c r="A27" s="16" t="s">
        <v>27</v>
      </c>
      <c r="B27" s="73">
        <v>0</v>
      </c>
      <c r="C27" s="14"/>
    </row>
    <row r="28" spans="1:3" ht="15" customHeight="1" x14ac:dyDescent="0.2">
      <c r="A28" s="61"/>
      <c r="B28" s="62"/>
      <c r="C28" s="14"/>
    </row>
    <row r="29" spans="1:3" ht="15" customHeight="1" x14ac:dyDescent="0.2">
      <c r="A29" s="109" t="s">
        <v>28</v>
      </c>
      <c r="B29" s="109"/>
      <c r="C29" s="14"/>
    </row>
    <row r="30" spans="1:3" ht="15" customHeight="1" x14ac:dyDescent="0.2">
      <c r="A30" s="38" t="s">
        <v>29</v>
      </c>
      <c r="B30" s="53">
        <v>220</v>
      </c>
      <c r="C30" s="14"/>
    </row>
    <row r="31" spans="1:3" ht="15" customHeight="1" x14ac:dyDescent="0.2">
      <c r="A31" s="38" t="s">
        <v>30</v>
      </c>
      <c r="B31" s="53">
        <v>220</v>
      </c>
      <c r="C31" s="14"/>
    </row>
    <row r="32" spans="1:3" ht="15" customHeight="1" x14ac:dyDescent="0.2">
      <c r="A32" s="38" t="s">
        <v>31</v>
      </c>
      <c r="B32" s="58">
        <v>0</v>
      </c>
      <c r="C32" s="14"/>
    </row>
    <row r="33" spans="1:3" ht="15" customHeight="1" x14ac:dyDescent="0.2">
      <c r="A33" s="38" t="s">
        <v>32</v>
      </c>
      <c r="B33" s="54">
        <f>B15/B30</f>
        <v>8.2652727272727269</v>
      </c>
      <c r="C33" s="14"/>
    </row>
    <row r="34" spans="1:3" ht="15" customHeight="1" x14ac:dyDescent="0.2">
      <c r="A34" s="38" t="s">
        <v>33</v>
      </c>
      <c r="B34" s="54">
        <f>B33*B45+B33</f>
        <v>9.9183272727272715</v>
      </c>
      <c r="C34" s="14"/>
    </row>
    <row r="35" spans="1:3" ht="15" customHeight="1" x14ac:dyDescent="0.2">
      <c r="A35" s="38" t="s">
        <v>34</v>
      </c>
      <c r="B35" s="54">
        <f>TRUNC((B15*B43)/B30,2)</f>
        <v>1.65</v>
      </c>
      <c r="C35" s="14"/>
    </row>
    <row r="36" spans="1:3" ht="15" customHeight="1" x14ac:dyDescent="0.2">
      <c r="A36" s="110"/>
      <c r="B36" s="110"/>
      <c r="C36" s="18"/>
    </row>
    <row r="37" spans="1:3" ht="15" customHeight="1" x14ac:dyDescent="0.2">
      <c r="A37" s="111" t="s">
        <v>35</v>
      </c>
      <c r="B37" s="111"/>
      <c r="C37" s="97" t="str">
        <f>B8</f>
        <v>A</v>
      </c>
    </row>
    <row r="38" spans="1:3" ht="15" customHeight="1" x14ac:dyDescent="0.2">
      <c r="A38" s="15"/>
      <c r="B38" s="15"/>
      <c r="C38" s="15"/>
    </row>
    <row r="39" spans="1:3" ht="15" customHeight="1" x14ac:dyDescent="0.2">
      <c r="A39" s="20" t="s">
        <v>36</v>
      </c>
      <c r="B39" s="19"/>
      <c r="C39" s="19"/>
    </row>
    <row r="40" spans="1:3" ht="15" customHeight="1" x14ac:dyDescent="0.2">
      <c r="A40" s="13" t="s">
        <v>37</v>
      </c>
      <c r="B40" s="52" t="s">
        <v>38</v>
      </c>
      <c r="C40" s="43" t="s">
        <v>39</v>
      </c>
    </row>
    <row r="41" spans="1:3" ht="15" customHeight="1" x14ac:dyDescent="0.2">
      <c r="A41" s="16" t="s">
        <v>40</v>
      </c>
      <c r="B41" s="1"/>
      <c r="C41" s="10">
        <f>TRUNC(IF(B31&lt;=220,(B33*B31),B15),2)</f>
        <v>1818.36</v>
      </c>
    </row>
    <row r="42" spans="1:3" ht="15" customHeight="1" x14ac:dyDescent="0.2">
      <c r="A42" s="16" t="s">
        <v>41</v>
      </c>
      <c r="B42" s="1"/>
      <c r="C42" s="10">
        <v>0</v>
      </c>
    </row>
    <row r="43" spans="1:3" ht="15" customHeight="1" x14ac:dyDescent="0.2">
      <c r="A43" s="16" t="s">
        <v>25</v>
      </c>
      <c r="B43" s="1">
        <f>B25</f>
        <v>0.2</v>
      </c>
      <c r="C43" s="10">
        <f>TRUNC(((B5*B4)*B35),2)</f>
        <v>0</v>
      </c>
    </row>
    <row r="44" spans="1:3" ht="15" customHeight="1" x14ac:dyDescent="0.2">
      <c r="A44" s="16" t="s">
        <v>42</v>
      </c>
      <c r="B44" s="1"/>
      <c r="C44" s="10">
        <f>TRUNC((((B5*1.142857)-B5)*B4)*(B33+B35),2)</f>
        <v>0</v>
      </c>
    </row>
    <row r="45" spans="1:3" ht="15" customHeight="1" x14ac:dyDescent="0.2">
      <c r="A45" s="16" t="s">
        <v>26</v>
      </c>
      <c r="B45" s="1">
        <f>B26</f>
        <v>0.2</v>
      </c>
      <c r="C45" s="10">
        <f>B15*B45</f>
        <v>363.67200000000003</v>
      </c>
    </row>
    <row r="46" spans="1:3" ht="15" customHeight="1" x14ac:dyDescent="0.2">
      <c r="A46" s="16" t="s">
        <v>27</v>
      </c>
      <c r="B46" s="1">
        <f>B27</f>
        <v>0</v>
      </c>
      <c r="C46" s="10">
        <f>TRUNC(B46*B15,2)</f>
        <v>0</v>
      </c>
    </row>
    <row r="47" spans="1:3" ht="15" customHeight="1" x14ac:dyDescent="0.2">
      <c r="A47" s="38" t="s">
        <v>43</v>
      </c>
      <c r="B47" s="1"/>
      <c r="C47" s="10">
        <f>TRUNC((C42+C43+C44)*20%,2)</f>
        <v>0</v>
      </c>
    </row>
    <row r="48" spans="1:3" ht="15" customHeight="1" x14ac:dyDescent="0.2">
      <c r="A48" s="44" t="s">
        <v>44</v>
      </c>
      <c r="B48" s="1"/>
      <c r="C48" s="10">
        <f>SUM(C41:C47)</f>
        <v>2182.0320000000002</v>
      </c>
    </row>
    <row r="49" spans="1:3" ht="15" customHeight="1" x14ac:dyDescent="0.2">
      <c r="A49" s="41" t="s">
        <v>45</v>
      </c>
      <c r="B49" s="2"/>
      <c r="C49" s="35">
        <f>C48</f>
        <v>2182.0320000000002</v>
      </c>
    </row>
    <row r="50" spans="1:3" ht="15" customHeight="1" x14ac:dyDescent="0.2">
      <c r="A50" s="23"/>
      <c r="B50" s="24"/>
      <c r="C50" s="22"/>
    </row>
    <row r="51" spans="1:3" ht="15" customHeight="1" x14ac:dyDescent="0.2">
      <c r="A51" s="25" t="s">
        <v>46</v>
      </c>
      <c r="B51" s="24"/>
      <c r="C51" s="22"/>
    </row>
    <row r="52" spans="1:3" ht="25.5" x14ac:dyDescent="0.2">
      <c r="A52" s="13" t="s">
        <v>47</v>
      </c>
      <c r="B52" s="42" t="s">
        <v>48</v>
      </c>
      <c r="C52" s="43" t="s">
        <v>39</v>
      </c>
    </row>
    <row r="53" spans="1:3" ht="15" customHeight="1" x14ac:dyDescent="0.2">
      <c r="A53" s="12" t="s">
        <v>49</v>
      </c>
      <c r="B53" s="2">
        <f>C53/C49</f>
        <v>4.678666490683913E-2</v>
      </c>
      <c r="C53" s="9">
        <f>TRUNC(IF(B31&gt;=B30,(B16*B18)-(B15*B17),(B16*B18)-(C41*B17)),2)</f>
        <v>102.09</v>
      </c>
    </row>
    <row r="54" spans="1:3" ht="15" customHeight="1" x14ac:dyDescent="0.2">
      <c r="A54" s="50" t="s">
        <v>50</v>
      </c>
      <c r="B54" s="2">
        <f>C54/C$49</f>
        <v>0.17966739259552564</v>
      </c>
      <c r="C54" s="51">
        <f>TRUNC((B19*B21)*(100%-B20),2)</f>
        <v>392.04</v>
      </c>
    </row>
    <row r="55" spans="1:3" ht="15" customHeight="1" x14ac:dyDescent="0.2">
      <c r="A55" s="12" t="s">
        <v>51</v>
      </c>
      <c r="B55" s="2">
        <f>C55/C$49</f>
        <v>4.5828842106806865E-4</v>
      </c>
      <c r="C55" s="9">
        <f>B22/12</f>
        <v>1</v>
      </c>
    </row>
    <row r="56" spans="1:3" ht="15" customHeight="1" x14ac:dyDescent="0.2">
      <c r="A56" s="12" t="s">
        <v>52</v>
      </c>
      <c r="B56" s="2">
        <f>C56/C$49</f>
        <v>8.4783357897592702E-3</v>
      </c>
      <c r="C56" s="9">
        <f>B23</f>
        <v>18.5</v>
      </c>
    </row>
    <row r="57" spans="1:3" ht="15" customHeight="1" x14ac:dyDescent="0.2">
      <c r="A57" s="47" t="s">
        <v>53</v>
      </c>
      <c r="B57" s="2">
        <f>C57/C$49</f>
        <v>4.5828842106806862E-3</v>
      </c>
      <c r="C57" s="9">
        <f>B24/12</f>
        <v>10</v>
      </c>
    </row>
    <row r="58" spans="1:3" ht="15" customHeight="1" x14ac:dyDescent="0.2">
      <c r="A58" s="41" t="s">
        <v>54</v>
      </c>
      <c r="B58" s="3">
        <f>SUM(B53:B57)</f>
        <v>0.23997356592387278</v>
      </c>
      <c r="C58" s="8">
        <f>SUM(C53:C57)</f>
        <v>523.63</v>
      </c>
    </row>
    <row r="59" spans="1:3" ht="15" customHeight="1" x14ac:dyDescent="0.2">
      <c r="A59" s="15"/>
      <c r="B59" s="26"/>
      <c r="C59" s="27"/>
    </row>
    <row r="60" spans="1:3" ht="15" customHeight="1" x14ac:dyDescent="0.2">
      <c r="A60" s="25" t="s">
        <v>55</v>
      </c>
      <c r="B60" s="24"/>
      <c r="C60" s="22"/>
    </row>
    <row r="61" spans="1:3" ht="25.5" x14ac:dyDescent="0.2">
      <c r="A61" s="13" t="s">
        <v>47</v>
      </c>
      <c r="B61" s="42" t="s">
        <v>48</v>
      </c>
      <c r="C61" s="43" t="s">
        <v>39</v>
      </c>
    </row>
    <row r="62" spans="1:3" ht="15" customHeight="1" x14ac:dyDescent="0.2">
      <c r="A62" s="12" t="s">
        <v>56</v>
      </c>
      <c r="B62" s="2">
        <f>C62/C$49</f>
        <v>4.594711008643732E-3</v>
      </c>
      <c r="C62" s="101">
        <f>([1]EPI!$D$16)+([1]Insumos!$E$10/31)</f>
        <v>10.025806451612901</v>
      </c>
    </row>
    <row r="63" spans="1:3" ht="15" customHeight="1" x14ac:dyDescent="0.2">
      <c r="A63" s="44" t="s">
        <v>57</v>
      </c>
      <c r="B63" s="4">
        <f>SUM(B62:B62)</f>
        <v>4.594711008643732E-3</v>
      </c>
      <c r="C63" s="34">
        <f>SUM(C62:C62)</f>
        <v>10.025806451612901</v>
      </c>
    </row>
    <row r="64" spans="1:3" ht="15" customHeight="1" x14ac:dyDescent="0.2">
      <c r="A64" s="23"/>
      <c r="B64" s="24"/>
      <c r="C64" s="22"/>
    </row>
    <row r="65" spans="1:3" ht="15" customHeight="1" x14ac:dyDescent="0.2">
      <c r="A65" s="29" t="s">
        <v>58</v>
      </c>
      <c r="B65" s="15"/>
      <c r="C65" s="15"/>
    </row>
    <row r="66" spans="1:3" ht="15" customHeight="1" x14ac:dyDescent="0.2">
      <c r="A66" s="29" t="s">
        <v>59</v>
      </c>
      <c r="B66" s="15"/>
      <c r="C66" s="15"/>
    </row>
    <row r="67" spans="1:3" ht="15" customHeight="1" x14ac:dyDescent="0.2">
      <c r="A67" s="13" t="s">
        <v>60</v>
      </c>
      <c r="B67" s="46" t="s">
        <v>38</v>
      </c>
      <c r="C67" s="43" t="s">
        <v>39</v>
      </c>
    </row>
    <row r="68" spans="1:3" ht="15" customHeight="1" x14ac:dyDescent="0.2">
      <c r="A68" s="16" t="s">
        <v>61</v>
      </c>
      <c r="B68" s="1">
        <v>0.2</v>
      </c>
      <c r="C68" s="10">
        <f t="shared" ref="C68:C75" si="0">TRUNC($C$49*B68,2)</f>
        <v>436.4</v>
      </c>
    </row>
    <row r="69" spans="1:3" ht="15" customHeight="1" x14ac:dyDescent="0.2">
      <c r="A69" s="16" t="s">
        <v>62</v>
      </c>
      <c r="B69" s="1">
        <v>0</v>
      </c>
      <c r="C69" s="10">
        <f t="shared" si="0"/>
        <v>0</v>
      </c>
    </row>
    <row r="70" spans="1:3" ht="15" customHeight="1" x14ac:dyDescent="0.2">
      <c r="A70" s="16" t="s">
        <v>63</v>
      </c>
      <c r="B70" s="1">
        <v>0</v>
      </c>
      <c r="C70" s="10">
        <f t="shared" si="0"/>
        <v>0</v>
      </c>
    </row>
    <row r="71" spans="1:3" ht="15" customHeight="1" x14ac:dyDescent="0.2">
      <c r="A71" s="16" t="s">
        <v>64</v>
      </c>
      <c r="B71" s="1">
        <v>0</v>
      </c>
      <c r="C71" s="10">
        <f t="shared" si="0"/>
        <v>0</v>
      </c>
    </row>
    <row r="72" spans="1:3" ht="15" customHeight="1" x14ac:dyDescent="0.2">
      <c r="A72" s="16" t="s">
        <v>65</v>
      </c>
      <c r="B72" s="1">
        <v>0</v>
      </c>
      <c r="C72" s="10">
        <f t="shared" si="0"/>
        <v>0</v>
      </c>
    </row>
    <row r="73" spans="1:3" ht="15" customHeight="1" x14ac:dyDescent="0.2">
      <c r="A73" s="16" t="s">
        <v>145</v>
      </c>
      <c r="B73" s="5">
        <f>0.2*0.05</f>
        <v>1.0000000000000002E-2</v>
      </c>
      <c r="C73" s="10">
        <f t="shared" si="0"/>
        <v>21.82</v>
      </c>
    </row>
    <row r="74" spans="1:3" ht="15" customHeight="1" x14ac:dyDescent="0.2">
      <c r="A74" s="16" t="s">
        <v>66</v>
      </c>
      <c r="B74" s="1">
        <v>0.08</v>
      </c>
      <c r="C74" s="10">
        <f t="shared" si="0"/>
        <v>174.56</v>
      </c>
    </row>
    <row r="75" spans="1:3" ht="15" customHeight="1" x14ac:dyDescent="0.2">
      <c r="A75" s="16" t="s">
        <v>67</v>
      </c>
      <c r="B75" s="1">
        <v>0</v>
      </c>
      <c r="C75" s="10">
        <f t="shared" si="0"/>
        <v>0</v>
      </c>
    </row>
    <row r="76" spans="1:3" ht="15" customHeight="1" x14ac:dyDescent="0.2">
      <c r="A76" s="44" t="s">
        <v>68</v>
      </c>
      <c r="B76" s="4">
        <f>SUM(B68:B75)</f>
        <v>0.29000000000000004</v>
      </c>
      <c r="C76" s="34">
        <f>SUM(C68:C75)</f>
        <v>632.78</v>
      </c>
    </row>
    <row r="77" spans="1:3" ht="15" customHeight="1" x14ac:dyDescent="0.2">
      <c r="A77" s="23"/>
      <c r="B77" s="22"/>
      <c r="C77" s="22"/>
    </row>
    <row r="78" spans="1:3" ht="15" customHeight="1" x14ac:dyDescent="0.2">
      <c r="A78" s="25" t="s">
        <v>69</v>
      </c>
      <c r="B78" s="22"/>
      <c r="C78" s="22"/>
    </row>
    <row r="79" spans="1:3" ht="15" customHeight="1" x14ac:dyDescent="0.2">
      <c r="A79" s="13" t="s">
        <v>60</v>
      </c>
      <c r="B79" s="46" t="s">
        <v>38</v>
      </c>
      <c r="C79" s="43" t="s">
        <v>39</v>
      </c>
    </row>
    <row r="80" spans="1:3" ht="15" customHeight="1" x14ac:dyDescent="0.2">
      <c r="A80" s="16" t="s">
        <v>70</v>
      </c>
      <c r="B80" s="1">
        <v>2.7799999999999998E-2</v>
      </c>
      <c r="C80" s="10">
        <f>TRUNC($C$49*B80,2)</f>
        <v>60.66</v>
      </c>
    </row>
    <row r="81" spans="1:3" ht="15" customHeight="1" x14ac:dyDescent="0.2">
      <c r="A81" s="40" t="s">
        <v>71</v>
      </c>
      <c r="B81" s="1">
        <v>8.3299999999999999E-2</v>
      </c>
      <c r="C81" s="10">
        <f>TRUNC($C$49*B81,2)</f>
        <v>181.76</v>
      </c>
    </row>
    <row r="82" spans="1:3" ht="15" customHeight="1" x14ac:dyDescent="0.2">
      <c r="A82" s="44" t="s">
        <v>72</v>
      </c>
      <c r="B82" s="4">
        <f>B80+B81</f>
        <v>0.1111</v>
      </c>
      <c r="C82" s="34">
        <f>SUM(C80:C81)</f>
        <v>242.42</v>
      </c>
    </row>
    <row r="83" spans="1:3" ht="15" customHeight="1" x14ac:dyDescent="0.2">
      <c r="A83" s="47" t="s">
        <v>73</v>
      </c>
      <c r="B83" s="1">
        <f>B82*B76</f>
        <v>3.2219000000000005E-2</v>
      </c>
      <c r="C83" s="10">
        <f>TRUNC($C$49*B83,2)</f>
        <v>70.3</v>
      </c>
    </row>
    <row r="84" spans="1:3" ht="15" customHeight="1" x14ac:dyDescent="0.2">
      <c r="A84" s="41" t="s">
        <v>74</v>
      </c>
      <c r="B84" s="4">
        <f>B82+B83</f>
        <v>0.143319</v>
      </c>
      <c r="C84" s="34">
        <f>C82+C83</f>
        <v>312.71999999999997</v>
      </c>
    </row>
    <row r="85" spans="1:3" ht="15" customHeight="1" x14ac:dyDescent="0.2">
      <c r="A85" s="15"/>
      <c r="B85" s="30"/>
      <c r="C85" s="30"/>
    </row>
    <row r="86" spans="1:3" ht="15" customHeight="1" x14ac:dyDescent="0.2">
      <c r="A86" s="25" t="s">
        <v>75</v>
      </c>
      <c r="B86" s="22"/>
      <c r="C86" s="22"/>
    </row>
    <row r="87" spans="1:3" ht="15" customHeight="1" x14ac:dyDescent="0.2">
      <c r="A87" s="49" t="s">
        <v>60</v>
      </c>
      <c r="B87" s="46" t="s">
        <v>38</v>
      </c>
      <c r="C87" s="43" t="s">
        <v>39</v>
      </c>
    </row>
    <row r="88" spans="1:3" ht="15" customHeight="1" x14ac:dyDescent="0.2">
      <c r="A88" s="40" t="s">
        <v>76</v>
      </c>
      <c r="B88" s="1">
        <v>2.9999999999999997E-4</v>
      </c>
      <c r="C88" s="10">
        <f>TRUNC($C$49*B88,2)</f>
        <v>0.65</v>
      </c>
    </row>
    <row r="89" spans="1:3" ht="15" customHeight="1" x14ac:dyDescent="0.2">
      <c r="A89" s="47" t="s">
        <v>77</v>
      </c>
      <c r="B89" s="1">
        <f>B88*B76</f>
        <v>8.7000000000000001E-5</v>
      </c>
      <c r="C89" s="10">
        <f>TRUNC($C$49*B89,2)</f>
        <v>0.18</v>
      </c>
    </row>
    <row r="90" spans="1:3" ht="15" customHeight="1" x14ac:dyDescent="0.2">
      <c r="A90" s="39" t="s">
        <v>78</v>
      </c>
      <c r="B90" s="4">
        <f>B88+B89</f>
        <v>3.8699999999999997E-4</v>
      </c>
      <c r="C90" s="34">
        <f>SUM(C88:C89)</f>
        <v>0.83000000000000007</v>
      </c>
    </row>
    <row r="91" spans="1:3" ht="15" customHeight="1" x14ac:dyDescent="0.2">
      <c r="A91" s="31"/>
      <c r="B91" s="28"/>
      <c r="C91" s="28"/>
    </row>
    <row r="92" spans="1:3" ht="15" customHeight="1" x14ac:dyDescent="0.2">
      <c r="A92" s="20" t="s">
        <v>79</v>
      </c>
      <c r="B92" s="28"/>
      <c r="C92" s="28"/>
    </row>
    <row r="93" spans="1:3" ht="15" customHeight="1" x14ac:dyDescent="0.2">
      <c r="A93" s="13" t="s">
        <v>60</v>
      </c>
      <c r="B93" s="46" t="s">
        <v>38</v>
      </c>
      <c r="C93" s="43" t="s">
        <v>39</v>
      </c>
    </row>
    <row r="94" spans="1:3" ht="15" customHeight="1" x14ac:dyDescent="0.2">
      <c r="A94" s="40" t="s">
        <v>80</v>
      </c>
      <c r="B94" s="1">
        <v>4.1999999999999997E-3</v>
      </c>
      <c r="C94" s="10">
        <f t="shared" ref="C94:C102" si="1">TRUNC($C$49*B94,2)</f>
        <v>9.16</v>
      </c>
    </row>
    <row r="95" spans="1:3" ht="15" customHeight="1" x14ac:dyDescent="0.2">
      <c r="A95" s="40" t="s">
        <v>81</v>
      </c>
      <c r="B95" s="1">
        <f>B94*B74</f>
        <v>3.3599999999999998E-4</v>
      </c>
      <c r="C95" s="10">
        <f t="shared" si="1"/>
        <v>0.73</v>
      </c>
    </row>
    <row r="96" spans="1:3" ht="15" customHeight="1" x14ac:dyDescent="0.2">
      <c r="A96" s="40" t="s">
        <v>82</v>
      </c>
      <c r="B96" s="1">
        <f>B95*50%</f>
        <v>1.6799999999999999E-4</v>
      </c>
      <c r="C96" s="10">
        <f t="shared" si="1"/>
        <v>0.36</v>
      </c>
    </row>
    <row r="97" spans="1:3" ht="15" customHeight="1" x14ac:dyDescent="0.2">
      <c r="A97" s="48" t="s">
        <v>83</v>
      </c>
      <c r="B97" s="1">
        <v>3.3599999999999998E-2</v>
      </c>
      <c r="C97" s="10">
        <f t="shared" si="1"/>
        <v>73.31</v>
      </c>
    </row>
    <row r="98" spans="1:3" ht="15" customHeight="1" x14ac:dyDescent="0.2">
      <c r="A98" s="40" t="s">
        <v>84</v>
      </c>
      <c r="B98" s="1">
        <v>4.0000000000000002E-4</v>
      </c>
      <c r="C98" s="10">
        <f t="shared" si="1"/>
        <v>0.87</v>
      </c>
    </row>
    <row r="99" spans="1:3" ht="15" customHeight="1" x14ac:dyDescent="0.2">
      <c r="A99" s="40" t="s">
        <v>85</v>
      </c>
      <c r="B99" s="1">
        <v>1.9400000000000001E-2</v>
      </c>
      <c r="C99" s="10">
        <f t="shared" si="1"/>
        <v>42.33</v>
      </c>
    </row>
    <row r="100" spans="1:3" ht="15" customHeight="1" x14ac:dyDescent="0.2">
      <c r="A100" s="40" t="s">
        <v>86</v>
      </c>
      <c r="B100" s="1">
        <f>(B98+B99)*B76</f>
        <v>5.7420000000000014E-3</v>
      </c>
      <c r="C100" s="10">
        <f t="shared" si="1"/>
        <v>12.52</v>
      </c>
    </row>
    <row r="101" spans="1:3" ht="15" customHeight="1" x14ac:dyDescent="0.2">
      <c r="A101" s="40" t="s">
        <v>87</v>
      </c>
      <c r="B101" s="1">
        <f>(B98+B99)*B74*50%</f>
        <v>7.9200000000000006E-4</v>
      </c>
      <c r="C101" s="10">
        <f t="shared" si="1"/>
        <v>1.72</v>
      </c>
    </row>
    <row r="102" spans="1:3" ht="15" customHeight="1" x14ac:dyDescent="0.2">
      <c r="A102" s="40" t="s">
        <v>88</v>
      </c>
      <c r="B102" s="1">
        <v>8.0000000000000004E-4</v>
      </c>
      <c r="C102" s="10">
        <f t="shared" si="1"/>
        <v>1.74</v>
      </c>
    </row>
    <row r="103" spans="1:3" ht="15" customHeight="1" x14ac:dyDescent="0.2">
      <c r="A103" s="39" t="s">
        <v>89</v>
      </c>
      <c r="B103" s="4">
        <f>SUM(B94:B102)</f>
        <v>6.5437999999999996E-2</v>
      </c>
      <c r="C103" s="34">
        <f>SUM(C94:C102)</f>
        <v>142.74</v>
      </c>
    </row>
    <row r="104" spans="1:3" ht="15" customHeight="1" x14ac:dyDescent="0.2">
      <c r="A104" s="31"/>
      <c r="B104" s="28"/>
      <c r="C104" s="28"/>
    </row>
    <row r="105" spans="1:3" ht="15" customHeight="1" x14ac:dyDescent="0.2">
      <c r="A105" s="20" t="s">
        <v>90</v>
      </c>
      <c r="B105" s="28"/>
      <c r="C105" s="28"/>
    </row>
    <row r="106" spans="1:3" ht="15" customHeight="1" x14ac:dyDescent="0.2">
      <c r="A106" s="13" t="s">
        <v>60</v>
      </c>
      <c r="B106" s="46" t="s">
        <v>38</v>
      </c>
      <c r="C106" s="43" t="s">
        <v>39</v>
      </c>
    </row>
    <row r="107" spans="1:3" ht="15" customHeight="1" x14ac:dyDescent="0.2">
      <c r="A107" s="12" t="s">
        <v>91</v>
      </c>
      <c r="B107" s="1">
        <v>8.3299999999999999E-2</v>
      </c>
      <c r="C107" s="10">
        <f>TRUNC($C$49*B107,2)</f>
        <v>181.76</v>
      </c>
    </row>
    <row r="108" spans="1:3" ht="15" customHeight="1" x14ac:dyDescent="0.2">
      <c r="A108" s="12" t="s">
        <v>92</v>
      </c>
      <c r="B108" s="1">
        <v>1.3899999999999999E-2</v>
      </c>
      <c r="C108" s="10">
        <f>TRUNC($C$49*B108,2)</f>
        <v>30.33</v>
      </c>
    </row>
    <row r="109" spans="1:3" ht="15" customHeight="1" x14ac:dyDescent="0.2">
      <c r="A109" s="12" t="s">
        <v>93</v>
      </c>
      <c r="B109" s="1">
        <v>2.0000000000000001E-4</v>
      </c>
      <c r="C109" s="10">
        <f>TRUNC($C$49*B109,2)</f>
        <v>0.43</v>
      </c>
    </row>
    <row r="110" spans="1:3" ht="15" customHeight="1" x14ac:dyDescent="0.2">
      <c r="A110" s="12" t="s">
        <v>94</v>
      </c>
      <c r="B110" s="1">
        <v>2.8E-3</v>
      </c>
      <c r="C110" s="10">
        <f>TRUNC($C$49*B110,2)</f>
        <v>6.1</v>
      </c>
    </row>
    <row r="111" spans="1:3" ht="15" customHeight="1" x14ac:dyDescent="0.2">
      <c r="A111" s="12" t="s">
        <v>95</v>
      </c>
      <c r="B111" s="1">
        <v>2.9999999999999997E-4</v>
      </c>
      <c r="C111" s="10">
        <f>TRUNC($C$49*B111,2)</f>
        <v>0.65</v>
      </c>
    </row>
    <row r="112" spans="1:3" ht="15" customHeight="1" x14ac:dyDescent="0.2">
      <c r="A112" s="41" t="s">
        <v>96</v>
      </c>
      <c r="B112" s="3">
        <f>SUM(B107:B111)</f>
        <v>0.10049999999999999</v>
      </c>
      <c r="C112" s="34">
        <f>SUM(C107:C111)</f>
        <v>219.26999999999998</v>
      </c>
    </row>
    <row r="113" spans="1:3" ht="15" customHeight="1" x14ac:dyDescent="0.2">
      <c r="A113" s="47" t="s">
        <v>97</v>
      </c>
      <c r="B113" s="2">
        <f>B112*B76</f>
        <v>2.9145000000000001E-2</v>
      </c>
      <c r="C113" s="10">
        <f>TRUNC($C$49*B113,2)</f>
        <v>63.59</v>
      </c>
    </row>
    <row r="114" spans="1:3" ht="15" customHeight="1" x14ac:dyDescent="0.2">
      <c r="A114" s="41" t="s">
        <v>98</v>
      </c>
      <c r="B114" s="3">
        <f>B112+B113</f>
        <v>0.12964499999999998</v>
      </c>
      <c r="C114" s="34">
        <f>C112+C113</f>
        <v>282.86</v>
      </c>
    </row>
    <row r="115" spans="1:3" ht="15" customHeight="1" x14ac:dyDescent="0.2">
      <c r="A115" s="15"/>
      <c r="B115" s="15"/>
      <c r="C115" s="15"/>
    </row>
    <row r="116" spans="1:3" ht="15" customHeight="1" x14ac:dyDescent="0.2">
      <c r="A116" s="25" t="s">
        <v>99</v>
      </c>
      <c r="B116" s="28"/>
      <c r="C116" s="28"/>
    </row>
    <row r="117" spans="1:3" ht="15" customHeight="1" x14ac:dyDescent="0.2">
      <c r="A117" s="13" t="s">
        <v>100</v>
      </c>
      <c r="B117" s="46" t="s">
        <v>38</v>
      </c>
      <c r="C117" s="43" t="s">
        <v>39</v>
      </c>
    </row>
    <row r="118" spans="1:3" ht="15" customHeight="1" x14ac:dyDescent="0.2">
      <c r="A118" s="16" t="s">
        <v>101</v>
      </c>
      <c r="B118" s="1">
        <f>B76</f>
        <v>0.29000000000000004</v>
      </c>
      <c r="C118" s="36">
        <f>C76</f>
        <v>632.78</v>
      </c>
    </row>
    <row r="119" spans="1:3" ht="15" customHeight="1" x14ac:dyDescent="0.2">
      <c r="A119" s="37" t="s">
        <v>102</v>
      </c>
      <c r="B119" s="1">
        <f>B84</f>
        <v>0.143319</v>
      </c>
      <c r="C119" s="36">
        <f>C84</f>
        <v>312.71999999999997</v>
      </c>
    </row>
    <row r="120" spans="1:3" ht="15" customHeight="1" x14ac:dyDescent="0.2">
      <c r="A120" s="16" t="s">
        <v>103</v>
      </c>
      <c r="B120" s="1">
        <f>B90</f>
        <v>3.8699999999999997E-4</v>
      </c>
      <c r="C120" s="36">
        <f>C90</f>
        <v>0.83000000000000007</v>
      </c>
    </row>
    <row r="121" spans="1:3" ht="15" customHeight="1" x14ac:dyDescent="0.2">
      <c r="A121" s="16" t="s">
        <v>104</v>
      </c>
      <c r="B121" s="1">
        <f>B103</f>
        <v>6.5437999999999996E-2</v>
      </c>
      <c r="C121" s="36">
        <f>C103</f>
        <v>142.74</v>
      </c>
    </row>
    <row r="122" spans="1:3" ht="15" customHeight="1" x14ac:dyDescent="0.2">
      <c r="A122" s="38" t="s">
        <v>105</v>
      </c>
      <c r="B122" s="1">
        <f>B114</f>
        <v>0.12964499999999998</v>
      </c>
      <c r="C122" s="36">
        <f>C114</f>
        <v>282.86</v>
      </c>
    </row>
    <row r="123" spans="1:3" ht="15" customHeight="1" x14ac:dyDescent="0.2">
      <c r="A123" s="44" t="s">
        <v>106</v>
      </c>
      <c r="B123" s="4">
        <f>SUM(B118:B122)</f>
        <v>0.62878900000000004</v>
      </c>
      <c r="C123" s="34">
        <f>SUM(C118:C122)</f>
        <v>1371.9300000000003</v>
      </c>
    </row>
    <row r="124" spans="1:3" ht="15" customHeight="1" x14ac:dyDescent="0.2">
      <c r="A124" s="15"/>
      <c r="B124" s="21"/>
      <c r="C124" s="21"/>
    </row>
    <row r="125" spans="1:3" ht="25.5" x14ac:dyDescent="0.2">
      <c r="A125" s="44" t="s">
        <v>107</v>
      </c>
      <c r="B125" s="33" t="s">
        <v>108</v>
      </c>
      <c r="C125" s="45">
        <f>C49+C58+C63+C123</f>
        <v>4087.6178064516134</v>
      </c>
    </row>
    <row r="126" spans="1:3" ht="15" customHeight="1" x14ac:dyDescent="0.2">
      <c r="A126" s="25"/>
      <c r="B126" s="21"/>
      <c r="C126" s="32"/>
    </row>
    <row r="127" spans="1:3" ht="15" customHeight="1" x14ac:dyDescent="0.2">
      <c r="A127" s="15"/>
      <c r="B127" s="15"/>
      <c r="C127" s="15"/>
    </row>
    <row r="128" spans="1:3" ht="15" customHeight="1" x14ac:dyDescent="0.2">
      <c r="A128" s="15"/>
      <c r="B128" s="15"/>
      <c r="C128" s="15"/>
    </row>
  </sheetData>
  <mergeCells count="3">
    <mergeCell ref="A29:B29"/>
    <mergeCell ref="A36:B36"/>
    <mergeCell ref="A37:B37"/>
  </mergeCells>
  <dataValidations count="1">
    <dataValidation allowBlank="1" showErrorMessage="1" sqref="B32" xr:uid="{1ADF8042-0BDE-45E1-8F74-A959EE2BF8E7}">
      <formula1>0</formula1>
      <formula2>0</formula2>
    </dataValidation>
  </dataValidations>
  <printOptions horizontalCentered="1" verticalCentered="1"/>
  <pageMargins left="0.11811023622047245" right="0.11811023622047245" top="0.39370078740157483" bottom="0.39370078740157483" header="0.31496062992125984" footer="0.31496062992125984"/>
  <pageSetup paperSize="9" scale="80" orientation="portrait" verticalDpi="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80B0E8-F2E4-434B-B925-93B4059DED84}">
  <dimension ref="A1:C128"/>
  <sheetViews>
    <sheetView topLeftCell="A52" workbookViewId="0">
      <selection activeCell="B30" sqref="B30"/>
    </sheetView>
  </sheetViews>
  <sheetFormatPr defaultRowHeight="12.75" x14ac:dyDescent="0.2"/>
  <cols>
    <col min="1" max="1" width="67" bestFit="1" customWidth="1"/>
    <col min="2" max="3" width="15.7109375" customWidth="1"/>
  </cols>
  <sheetData>
    <row r="1" spans="1:3" ht="15" customHeight="1" x14ac:dyDescent="0.2">
      <c r="A1" s="37" t="s">
        <v>0</v>
      </c>
      <c r="B1" s="63" t="s">
        <v>127</v>
      </c>
      <c r="C1" s="14"/>
    </row>
    <row r="2" spans="1:3" ht="15" customHeight="1" x14ac:dyDescent="0.2">
      <c r="A2" s="37" t="s">
        <v>1</v>
      </c>
      <c r="B2" s="64" t="s">
        <v>2</v>
      </c>
      <c r="C2" s="14"/>
    </row>
    <row r="3" spans="1:3" ht="15" customHeight="1" x14ac:dyDescent="0.2">
      <c r="A3" s="37" t="s">
        <v>3</v>
      </c>
      <c r="B3" s="65">
        <v>5</v>
      </c>
      <c r="C3" s="14"/>
    </row>
    <row r="4" spans="1:3" ht="15" customHeight="1" x14ac:dyDescent="0.2">
      <c r="A4" s="38" t="s">
        <v>4</v>
      </c>
      <c r="B4" s="57" t="str">
        <f>IF(B3=1,"4",IF(B3=2,"8",IF(B3=3,"12",IF(B3=4,"16",IF(B3=5,"22",IF(B3=6,"26",IF(B3=7,"30",0)))))))</f>
        <v>22</v>
      </c>
      <c r="C4" s="14"/>
    </row>
    <row r="5" spans="1:3" ht="15" customHeight="1" x14ac:dyDescent="0.2">
      <c r="A5" s="38" t="s">
        <v>5</v>
      </c>
      <c r="B5" s="66">
        <v>0</v>
      </c>
      <c r="C5" s="14"/>
    </row>
    <row r="6" spans="1:3" ht="15" customHeight="1" x14ac:dyDescent="0.2">
      <c r="A6" s="38" t="s">
        <v>6</v>
      </c>
      <c r="B6" s="66">
        <v>8</v>
      </c>
      <c r="C6" s="14"/>
    </row>
    <row r="7" spans="1:3" ht="15" customHeight="1" x14ac:dyDescent="0.2">
      <c r="A7" s="38" t="s">
        <v>7</v>
      </c>
      <c r="B7" s="53">
        <f>B5+B6</f>
        <v>8</v>
      </c>
      <c r="C7" s="14"/>
    </row>
    <row r="8" spans="1:3" ht="15" customHeight="1" x14ac:dyDescent="0.2">
      <c r="A8" s="16" t="s">
        <v>8</v>
      </c>
      <c r="B8" s="67" t="s">
        <v>123</v>
      </c>
      <c r="C8" s="14"/>
    </row>
    <row r="9" spans="1:3" ht="15" customHeight="1" x14ac:dyDescent="0.2">
      <c r="A9" s="37" t="s">
        <v>9</v>
      </c>
      <c r="B9" s="64" t="s">
        <v>124</v>
      </c>
      <c r="C9" s="14"/>
    </row>
    <row r="10" spans="1:3" ht="15" customHeight="1" x14ac:dyDescent="0.2">
      <c r="A10" s="37" t="s">
        <v>10</v>
      </c>
      <c r="B10" s="68">
        <v>12</v>
      </c>
      <c r="C10" s="14"/>
    </row>
    <row r="11" spans="1:3" ht="15" customHeight="1" x14ac:dyDescent="0.2">
      <c r="A11" s="55" t="s">
        <v>11</v>
      </c>
      <c r="B11" s="67" t="s">
        <v>125</v>
      </c>
      <c r="C11" s="14"/>
    </row>
    <row r="12" spans="1:3" ht="15" customHeight="1" x14ac:dyDescent="0.2">
      <c r="A12" s="37" t="s">
        <v>12</v>
      </c>
      <c r="B12" s="67" t="s">
        <v>148</v>
      </c>
      <c r="C12" s="14"/>
    </row>
    <row r="13" spans="1:3" ht="15" customHeight="1" x14ac:dyDescent="0.2">
      <c r="A13" s="37" t="s">
        <v>13</v>
      </c>
      <c r="B13" s="82" t="s">
        <v>141</v>
      </c>
      <c r="C13" s="14"/>
    </row>
    <row r="14" spans="1:3" ht="15" customHeight="1" x14ac:dyDescent="0.2">
      <c r="A14" s="37" t="s">
        <v>14</v>
      </c>
      <c r="B14" s="83">
        <v>44927</v>
      </c>
      <c r="C14" s="14"/>
    </row>
    <row r="15" spans="1:3" ht="15" customHeight="1" x14ac:dyDescent="0.2">
      <c r="A15" s="16" t="s">
        <v>15</v>
      </c>
      <c r="B15" s="100">
        <v>1431.04</v>
      </c>
      <c r="C15" s="14"/>
    </row>
    <row r="16" spans="1:3" ht="15" customHeight="1" x14ac:dyDescent="0.2">
      <c r="A16" s="38" t="s">
        <v>16</v>
      </c>
      <c r="B16" s="70">
        <v>4.8</v>
      </c>
      <c r="C16" s="14"/>
    </row>
    <row r="17" spans="1:3" ht="15" customHeight="1" x14ac:dyDescent="0.2">
      <c r="A17" s="17" t="s">
        <v>17</v>
      </c>
      <c r="B17" s="71">
        <v>0.06</v>
      </c>
      <c r="C17" s="14"/>
    </row>
    <row r="18" spans="1:3" ht="15" customHeight="1" x14ac:dyDescent="0.2">
      <c r="A18" s="17" t="s">
        <v>18</v>
      </c>
      <c r="B18" s="56">
        <f>B4*2</f>
        <v>44</v>
      </c>
      <c r="C18" s="14"/>
    </row>
    <row r="19" spans="1:3" ht="15" customHeight="1" x14ac:dyDescent="0.2">
      <c r="A19" s="38" t="s">
        <v>19</v>
      </c>
      <c r="B19" s="69">
        <v>22</v>
      </c>
      <c r="C19" s="14"/>
    </row>
    <row r="20" spans="1:3" ht="15" customHeight="1" x14ac:dyDescent="0.2">
      <c r="A20" s="17" t="s">
        <v>20</v>
      </c>
      <c r="B20" s="72">
        <v>0.19</v>
      </c>
      <c r="C20" s="14"/>
    </row>
    <row r="21" spans="1:3" ht="15" customHeight="1" x14ac:dyDescent="0.2">
      <c r="A21" s="17" t="s">
        <v>21</v>
      </c>
      <c r="B21" s="56" t="str">
        <f>B4</f>
        <v>22</v>
      </c>
      <c r="C21" s="14"/>
    </row>
    <row r="22" spans="1:3" ht="15" customHeight="1" x14ac:dyDescent="0.2">
      <c r="A22" s="38" t="s">
        <v>22</v>
      </c>
      <c r="B22" s="70">
        <v>12</v>
      </c>
      <c r="C22" s="14"/>
    </row>
    <row r="23" spans="1:3" ht="15" customHeight="1" x14ac:dyDescent="0.2">
      <c r="A23" s="38" t="s">
        <v>23</v>
      </c>
      <c r="B23" s="70">
        <v>18.5</v>
      </c>
      <c r="C23" s="14"/>
    </row>
    <row r="24" spans="1:3" ht="15" customHeight="1" x14ac:dyDescent="0.2">
      <c r="A24" s="38" t="s">
        <v>24</v>
      </c>
      <c r="B24" s="70">
        <v>120</v>
      </c>
      <c r="C24" s="14"/>
    </row>
    <row r="25" spans="1:3" ht="15" customHeight="1" x14ac:dyDescent="0.2">
      <c r="A25" s="16" t="s">
        <v>25</v>
      </c>
      <c r="B25" s="73">
        <v>0.2</v>
      </c>
      <c r="C25" s="14"/>
    </row>
    <row r="26" spans="1:3" ht="15" customHeight="1" x14ac:dyDescent="0.2">
      <c r="A26" s="16" t="s">
        <v>26</v>
      </c>
      <c r="B26" s="73">
        <v>0.4</v>
      </c>
      <c r="C26" s="14"/>
    </row>
    <row r="27" spans="1:3" ht="15" customHeight="1" x14ac:dyDescent="0.2">
      <c r="A27" s="16" t="s">
        <v>27</v>
      </c>
      <c r="B27" s="73">
        <v>0</v>
      </c>
      <c r="C27" s="14"/>
    </row>
    <row r="28" spans="1:3" ht="15" customHeight="1" x14ac:dyDescent="0.2">
      <c r="A28" s="61"/>
      <c r="B28" s="62"/>
      <c r="C28" s="14"/>
    </row>
    <row r="29" spans="1:3" ht="15" customHeight="1" x14ac:dyDescent="0.2">
      <c r="A29" s="109" t="s">
        <v>28</v>
      </c>
      <c r="B29" s="109"/>
      <c r="C29" s="14"/>
    </row>
    <row r="30" spans="1:3" ht="15" customHeight="1" x14ac:dyDescent="0.2">
      <c r="A30" s="38" t="s">
        <v>29</v>
      </c>
      <c r="B30" s="53">
        <v>220</v>
      </c>
      <c r="C30" s="14"/>
    </row>
    <row r="31" spans="1:3" ht="15" customHeight="1" x14ac:dyDescent="0.2">
      <c r="A31" s="38" t="s">
        <v>30</v>
      </c>
      <c r="B31" s="53">
        <v>220</v>
      </c>
      <c r="C31" s="14"/>
    </row>
    <row r="32" spans="1:3" ht="15" customHeight="1" x14ac:dyDescent="0.2">
      <c r="A32" s="38" t="s">
        <v>31</v>
      </c>
      <c r="B32" s="58">
        <v>0</v>
      </c>
      <c r="C32" s="14"/>
    </row>
    <row r="33" spans="1:3" ht="15" customHeight="1" x14ac:dyDescent="0.2">
      <c r="A33" s="38" t="s">
        <v>32</v>
      </c>
      <c r="B33" s="54">
        <f>B15/B30</f>
        <v>6.5047272727272727</v>
      </c>
      <c r="C33" s="14"/>
    </row>
    <row r="34" spans="1:3" ht="15" customHeight="1" x14ac:dyDescent="0.2">
      <c r="A34" s="38" t="s">
        <v>33</v>
      </c>
      <c r="B34" s="54">
        <f>B33*B45+B33</f>
        <v>9.1066181818181811</v>
      </c>
      <c r="C34" s="14"/>
    </row>
    <row r="35" spans="1:3" ht="15" customHeight="1" x14ac:dyDescent="0.2">
      <c r="A35" s="38" t="s">
        <v>34</v>
      </c>
      <c r="B35" s="54">
        <f>TRUNC((B15*B43)/B30,2)</f>
        <v>1.3</v>
      </c>
      <c r="C35" s="14"/>
    </row>
    <row r="36" spans="1:3" ht="15" customHeight="1" x14ac:dyDescent="0.2">
      <c r="A36" s="110"/>
      <c r="B36" s="110"/>
      <c r="C36" s="18"/>
    </row>
    <row r="37" spans="1:3" ht="15" customHeight="1" x14ac:dyDescent="0.2">
      <c r="A37" s="111" t="s">
        <v>35</v>
      </c>
      <c r="B37" s="111"/>
      <c r="C37" s="97" t="str">
        <f>B8</f>
        <v>A</v>
      </c>
    </row>
    <row r="38" spans="1:3" ht="15" customHeight="1" x14ac:dyDescent="0.2">
      <c r="A38" s="15"/>
      <c r="B38" s="15"/>
      <c r="C38" s="15"/>
    </row>
    <row r="39" spans="1:3" ht="15" customHeight="1" x14ac:dyDescent="0.2">
      <c r="A39" s="20" t="s">
        <v>36</v>
      </c>
      <c r="B39" s="19"/>
      <c r="C39" s="19"/>
    </row>
    <row r="40" spans="1:3" ht="15" customHeight="1" x14ac:dyDescent="0.2">
      <c r="A40" s="13" t="s">
        <v>37</v>
      </c>
      <c r="B40" s="52" t="s">
        <v>38</v>
      </c>
      <c r="C40" s="43" t="s">
        <v>39</v>
      </c>
    </row>
    <row r="41" spans="1:3" ht="15" customHeight="1" x14ac:dyDescent="0.2">
      <c r="A41" s="16" t="s">
        <v>40</v>
      </c>
      <c r="B41" s="1"/>
      <c r="C41" s="10">
        <f>TRUNC(IF(B31&lt;=220,(B33*B31),B15),2)</f>
        <v>1431.04</v>
      </c>
    </row>
    <row r="42" spans="1:3" ht="15" customHeight="1" x14ac:dyDescent="0.2">
      <c r="A42" s="16" t="s">
        <v>41</v>
      </c>
      <c r="B42" s="1"/>
      <c r="C42" s="10">
        <v>0</v>
      </c>
    </row>
    <row r="43" spans="1:3" ht="15" customHeight="1" x14ac:dyDescent="0.2">
      <c r="A43" s="16" t="s">
        <v>25</v>
      </c>
      <c r="B43" s="1">
        <f>B25</f>
        <v>0.2</v>
      </c>
      <c r="C43" s="10">
        <f>TRUNC(((B5*B4)*B35),2)</f>
        <v>0</v>
      </c>
    </row>
    <row r="44" spans="1:3" ht="15" customHeight="1" x14ac:dyDescent="0.2">
      <c r="A44" s="16" t="s">
        <v>42</v>
      </c>
      <c r="B44" s="1"/>
      <c r="C44" s="10">
        <f>TRUNC((((B5*1.142857)-B5)*B4)*(B33+B35),2)</f>
        <v>0</v>
      </c>
    </row>
    <row r="45" spans="1:3" ht="15" customHeight="1" x14ac:dyDescent="0.2">
      <c r="A45" s="16" t="s">
        <v>26</v>
      </c>
      <c r="B45" s="1">
        <f>B26</f>
        <v>0.4</v>
      </c>
      <c r="C45" s="10">
        <f>B15*B45</f>
        <v>572.41600000000005</v>
      </c>
    </row>
    <row r="46" spans="1:3" ht="15" customHeight="1" x14ac:dyDescent="0.2">
      <c r="A46" s="16" t="s">
        <v>27</v>
      </c>
      <c r="B46" s="1">
        <v>0.2</v>
      </c>
      <c r="C46" s="10">
        <f>TRUNC(B46*B15,2)</f>
        <v>286.2</v>
      </c>
    </row>
    <row r="47" spans="1:3" ht="15" customHeight="1" x14ac:dyDescent="0.2">
      <c r="A47" s="38" t="s">
        <v>43</v>
      </c>
      <c r="B47" s="1"/>
      <c r="C47" s="10">
        <f>TRUNC((C42+C43+C44)*20%,2)</f>
        <v>0</v>
      </c>
    </row>
    <row r="48" spans="1:3" ht="15" customHeight="1" x14ac:dyDescent="0.2">
      <c r="A48" s="44" t="s">
        <v>44</v>
      </c>
      <c r="B48" s="1"/>
      <c r="C48" s="10">
        <f>SUM(C41:C47)</f>
        <v>2289.6559999999999</v>
      </c>
    </row>
    <row r="49" spans="1:3" ht="15" customHeight="1" x14ac:dyDescent="0.2">
      <c r="A49" s="41" t="s">
        <v>45</v>
      </c>
      <c r="B49" s="2"/>
      <c r="C49" s="35">
        <f>C48</f>
        <v>2289.6559999999999</v>
      </c>
    </row>
    <row r="50" spans="1:3" ht="15" customHeight="1" x14ac:dyDescent="0.2">
      <c r="A50" s="23"/>
      <c r="B50" s="24"/>
      <c r="C50" s="22"/>
    </row>
    <row r="51" spans="1:3" ht="15" customHeight="1" x14ac:dyDescent="0.2">
      <c r="A51" s="25" t="s">
        <v>46</v>
      </c>
      <c r="B51" s="24"/>
      <c r="C51" s="22"/>
    </row>
    <row r="52" spans="1:3" ht="25.5" x14ac:dyDescent="0.2">
      <c r="A52" s="13" t="s">
        <v>47</v>
      </c>
      <c r="B52" s="42" t="s">
        <v>48</v>
      </c>
      <c r="C52" s="43" t="s">
        <v>39</v>
      </c>
    </row>
    <row r="53" spans="1:3" ht="15" customHeight="1" x14ac:dyDescent="0.2">
      <c r="A53" s="12" t="s">
        <v>49</v>
      </c>
      <c r="B53" s="2">
        <f>C53/C49</f>
        <v>5.4737480215368596E-2</v>
      </c>
      <c r="C53" s="9">
        <f>TRUNC(IF(B31&gt;=B30,(B16*B18)-(B15*B17),(B16*B18)-(C41*B17)),2)</f>
        <v>125.33</v>
      </c>
    </row>
    <row r="54" spans="1:3" ht="15" customHeight="1" x14ac:dyDescent="0.2">
      <c r="A54" s="50" t="s">
        <v>50</v>
      </c>
      <c r="B54" s="2">
        <f>C54/C$49</f>
        <v>0.17122222726907449</v>
      </c>
      <c r="C54" s="51">
        <f>TRUNC((B19*B21)*(100%-B20),2)</f>
        <v>392.04</v>
      </c>
    </row>
    <row r="55" spans="1:3" ht="15" customHeight="1" x14ac:dyDescent="0.2">
      <c r="A55" s="12" t="s">
        <v>51</v>
      </c>
      <c r="B55" s="2">
        <f>C55/C$49</f>
        <v>4.367468300915072E-4</v>
      </c>
      <c r="C55" s="9">
        <f>B22/12</f>
        <v>1</v>
      </c>
    </row>
    <row r="56" spans="1:3" ht="15" customHeight="1" x14ac:dyDescent="0.2">
      <c r="A56" s="12" t="s">
        <v>52</v>
      </c>
      <c r="B56" s="2">
        <f>C56/C$49</f>
        <v>8.0798163566928836E-3</v>
      </c>
      <c r="C56" s="9">
        <f>B23</f>
        <v>18.5</v>
      </c>
    </row>
    <row r="57" spans="1:3" ht="15" customHeight="1" x14ac:dyDescent="0.2">
      <c r="A57" s="47" t="s">
        <v>53</v>
      </c>
      <c r="B57" s="2">
        <f>C57/C$49</f>
        <v>4.3674683009150717E-3</v>
      </c>
      <c r="C57" s="9">
        <f>B24/12</f>
        <v>10</v>
      </c>
    </row>
    <row r="58" spans="1:3" ht="15" customHeight="1" x14ac:dyDescent="0.2">
      <c r="A58" s="41" t="s">
        <v>54</v>
      </c>
      <c r="B58" s="3">
        <f>SUM(B53:B57)</f>
        <v>0.23884373897214256</v>
      </c>
      <c r="C58" s="8">
        <f>SUM(C53:C57)</f>
        <v>546.87</v>
      </c>
    </row>
    <row r="59" spans="1:3" ht="15" customHeight="1" x14ac:dyDescent="0.2">
      <c r="A59" s="15"/>
      <c r="B59" s="26"/>
      <c r="C59" s="27"/>
    </row>
    <row r="60" spans="1:3" ht="15" customHeight="1" x14ac:dyDescent="0.2">
      <c r="A60" s="25" t="s">
        <v>55</v>
      </c>
      <c r="B60" s="24"/>
      <c r="C60" s="22"/>
    </row>
    <row r="61" spans="1:3" ht="25.5" x14ac:dyDescent="0.2">
      <c r="A61" s="13" t="s">
        <v>47</v>
      </c>
      <c r="B61" s="42" t="s">
        <v>48</v>
      </c>
      <c r="C61" s="43" t="s">
        <v>39</v>
      </c>
    </row>
    <row r="62" spans="1:3" ht="15" customHeight="1" x14ac:dyDescent="0.2">
      <c r="A62" s="12" t="s">
        <v>56</v>
      </c>
      <c r="B62" s="2">
        <f>C62/C$49</f>
        <v>4.2419035872637628E-3</v>
      </c>
      <c r="C62" s="101">
        <f>[1]Insumos!$E$10/32</f>
        <v>9.7124999999999986</v>
      </c>
    </row>
    <row r="63" spans="1:3" ht="15" customHeight="1" x14ac:dyDescent="0.2">
      <c r="A63" s="44" t="s">
        <v>57</v>
      </c>
      <c r="B63" s="4">
        <f>SUM(B62:B62)</f>
        <v>4.2419035872637628E-3</v>
      </c>
      <c r="C63" s="34">
        <f>SUM(C62:C62)</f>
        <v>9.7124999999999986</v>
      </c>
    </row>
    <row r="64" spans="1:3" ht="15" customHeight="1" x14ac:dyDescent="0.2">
      <c r="A64" s="23"/>
      <c r="B64" s="24"/>
      <c r="C64" s="22"/>
    </row>
    <row r="65" spans="1:3" ht="15" customHeight="1" x14ac:dyDescent="0.2">
      <c r="A65" s="29" t="s">
        <v>58</v>
      </c>
      <c r="B65" s="15"/>
      <c r="C65" s="15"/>
    </row>
    <row r="66" spans="1:3" ht="15" customHeight="1" x14ac:dyDescent="0.2">
      <c r="A66" s="29" t="s">
        <v>59</v>
      </c>
      <c r="B66" s="15"/>
      <c r="C66" s="15"/>
    </row>
    <row r="67" spans="1:3" ht="15" customHeight="1" x14ac:dyDescent="0.2">
      <c r="A67" s="13" t="s">
        <v>60</v>
      </c>
      <c r="B67" s="46" t="s">
        <v>38</v>
      </c>
      <c r="C67" s="43" t="s">
        <v>39</v>
      </c>
    </row>
    <row r="68" spans="1:3" ht="15" customHeight="1" x14ac:dyDescent="0.2">
      <c r="A68" s="16" t="s">
        <v>61</v>
      </c>
      <c r="B68" s="1">
        <v>0.2</v>
      </c>
      <c r="C68" s="10">
        <f t="shared" ref="C68:C75" si="0">TRUNC($C$49*B68,2)</f>
        <v>457.93</v>
      </c>
    </row>
    <row r="69" spans="1:3" ht="15" customHeight="1" x14ac:dyDescent="0.2">
      <c r="A69" s="16" t="s">
        <v>62</v>
      </c>
      <c r="B69" s="1">
        <v>0</v>
      </c>
      <c r="C69" s="10">
        <f t="shared" si="0"/>
        <v>0</v>
      </c>
    </row>
    <row r="70" spans="1:3" ht="15" customHeight="1" x14ac:dyDescent="0.2">
      <c r="A70" s="16" t="s">
        <v>63</v>
      </c>
      <c r="B70" s="1">
        <v>0</v>
      </c>
      <c r="C70" s="10">
        <f t="shared" si="0"/>
        <v>0</v>
      </c>
    </row>
    <row r="71" spans="1:3" ht="15" customHeight="1" x14ac:dyDescent="0.2">
      <c r="A71" s="16" t="s">
        <v>64</v>
      </c>
      <c r="B71" s="1">
        <v>0</v>
      </c>
      <c r="C71" s="10">
        <f t="shared" si="0"/>
        <v>0</v>
      </c>
    </row>
    <row r="72" spans="1:3" ht="15" customHeight="1" x14ac:dyDescent="0.2">
      <c r="A72" s="16" t="s">
        <v>65</v>
      </c>
      <c r="B72" s="1">
        <v>0</v>
      </c>
      <c r="C72" s="10">
        <f t="shared" si="0"/>
        <v>0</v>
      </c>
    </row>
    <row r="73" spans="1:3" ht="15" customHeight="1" x14ac:dyDescent="0.2">
      <c r="A73" s="16" t="s">
        <v>145</v>
      </c>
      <c r="B73" s="5">
        <f>0.2*0.05</f>
        <v>1.0000000000000002E-2</v>
      </c>
      <c r="C73" s="10">
        <f t="shared" si="0"/>
        <v>22.89</v>
      </c>
    </row>
    <row r="74" spans="1:3" ht="15" customHeight="1" x14ac:dyDescent="0.2">
      <c r="A74" s="16" t="s">
        <v>66</v>
      </c>
      <c r="B74" s="1">
        <v>0.08</v>
      </c>
      <c r="C74" s="10">
        <f t="shared" si="0"/>
        <v>183.17</v>
      </c>
    </row>
    <row r="75" spans="1:3" ht="15" customHeight="1" x14ac:dyDescent="0.2">
      <c r="A75" s="16" t="s">
        <v>67</v>
      </c>
      <c r="B75" s="1">
        <v>0</v>
      </c>
      <c r="C75" s="10">
        <f t="shared" si="0"/>
        <v>0</v>
      </c>
    </row>
    <row r="76" spans="1:3" ht="15" customHeight="1" x14ac:dyDescent="0.2">
      <c r="A76" s="44" t="s">
        <v>68</v>
      </c>
      <c r="B76" s="4">
        <f>SUM(B68:B75)</f>
        <v>0.29000000000000004</v>
      </c>
      <c r="C76" s="34">
        <f>SUM(C68:C75)</f>
        <v>663.99</v>
      </c>
    </row>
    <row r="77" spans="1:3" ht="15" customHeight="1" x14ac:dyDescent="0.2">
      <c r="A77" s="23"/>
      <c r="B77" s="22"/>
      <c r="C77" s="22"/>
    </row>
    <row r="78" spans="1:3" ht="15" customHeight="1" x14ac:dyDescent="0.2">
      <c r="A78" s="25" t="s">
        <v>69</v>
      </c>
      <c r="B78" s="22"/>
      <c r="C78" s="22"/>
    </row>
    <row r="79" spans="1:3" ht="15" customHeight="1" x14ac:dyDescent="0.2">
      <c r="A79" s="13" t="s">
        <v>60</v>
      </c>
      <c r="B79" s="46" t="s">
        <v>38</v>
      </c>
      <c r="C79" s="43" t="s">
        <v>39</v>
      </c>
    </row>
    <row r="80" spans="1:3" ht="15" customHeight="1" x14ac:dyDescent="0.2">
      <c r="A80" s="16" t="s">
        <v>70</v>
      </c>
      <c r="B80" s="1">
        <v>2.7799999999999998E-2</v>
      </c>
      <c r="C80" s="10">
        <f>TRUNC($C$49*B80,2)</f>
        <v>63.65</v>
      </c>
    </row>
    <row r="81" spans="1:3" ht="15" customHeight="1" x14ac:dyDescent="0.2">
      <c r="A81" s="40" t="s">
        <v>71</v>
      </c>
      <c r="B81" s="1">
        <v>8.3299999999999999E-2</v>
      </c>
      <c r="C81" s="10">
        <f>TRUNC($C$49*B81,2)</f>
        <v>190.72</v>
      </c>
    </row>
    <row r="82" spans="1:3" ht="15" customHeight="1" x14ac:dyDescent="0.2">
      <c r="A82" s="44" t="s">
        <v>72</v>
      </c>
      <c r="B82" s="4">
        <f>B80+B81</f>
        <v>0.1111</v>
      </c>
      <c r="C82" s="34">
        <f>SUM(C80:C81)</f>
        <v>254.37</v>
      </c>
    </row>
    <row r="83" spans="1:3" ht="15" customHeight="1" x14ac:dyDescent="0.2">
      <c r="A83" s="47" t="s">
        <v>73</v>
      </c>
      <c r="B83" s="1">
        <f>B82*B76</f>
        <v>3.2219000000000005E-2</v>
      </c>
      <c r="C83" s="10">
        <f>TRUNC($C$49*B83,2)</f>
        <v>73.77</v>
      </c>
    </row>
    <row r="84" spans="1:3" ht="15" customHeight="1" x14ac:dyDescent="0.2">
      <c r="A84" s="41" t="s">
        <v>74</v>
      </c>
      <c r="B84" s="4">
        <f>B82+B83</f>
        <v>0.143319</v>
      </c>
      <c r="C84" s="34">
        <f>C82+C83</f>
        <v>328.14</v>
      </c>
    </row>
    <row r="85" spans="1:3" ht="15" customHeight="1" x14ac:dyDescent="0.2">
      <c r="A85" s="15"/>
      <c r="B85" s="30"/>
      <c r="C85" s="30"/>
    </row>
    <row r="86" spans="1:3" ht="15" customHeight="1" x14ac:dyDescent="0.2">
      <c r="A86" s="25" t="s">
        <v>75</v>
      </c>
      <c r="B86" s="22"/>
      <c r="C86" s="22"/>
    </row>
    <row r="87" spans="1:3" ht="15" customHeight="1" x14ac:dyDescent="0.2">
      <c r="A87" s="49" t="s">
        <v>60</v>
      </c>
      <c r="B87" s="46" t="s">
        <v>38</v>
      </c>
      <c r="C87" s="43" t="s">
        <v>39</v>
      </c>
    </row>
    <row r="88" spans="1:3" ht="15" customHeight="1" x14ac:dyDescent="0.2">
      <c r="A88" s="40" t="s">
        <v>76</v>
      </c>
      <c r="B88" s="1">
        <v>2.9999999999999997E-4</v>
      </c>
      <c r="C88" s="10">
        <f>TRUNC($C$49*B88,2)</f>
        <v>0.68</v>
      </c>
    </row>
    <row r="89" spans="1:3" ht="15" customHeight="1" x14ac:dyDescent="0.2">
      <c r="A89" s="47" t="s">
        <v>77</v>
      </c>
      <c r="B89" s="1">
        <f>B88*B76</f>
        <v>8.7000000000000001E-5</v>
      </c>
      <c r="C89" s="10">
        <f>TRUNC($C$49*B89,2)</f>
        <v>0.19</v>
      </c>
    </row>
    <row r="90" spans="1:3" ht="15" customHeight="1" x14ac:dyDescent="0.2">
      <c r="A90" s="39" t="s">
        <v>78</v>
      </c>
      <c r="B90" s="4">
        <f>B88+B89</f>
        <v>3.8699999999999997E-4</v>
      </c>
      <c r="C90" s="34">
        <f>SUM(C88:C89)</f>
        <v>0.87000000000000011</v>
      </c>
    </row>
    <row r="91" spans="1:3" ht="15" customHeight="1" x14ac:dyDescent="0.2">
      <c r="A91" s="31"/>
      <c r="B91" s="28"/>
      <c r="C91" s="28"/>
    </row>
    <row r="92" spans="1:3" ht="15" customHeight="1" x14ac:dyDescent="0.2">
      <c r="A92" s="20" t="s">
        <v>79</v>
      </c>
      <c r="B92" s="28"/>
      <c r="C92" s="28"/>
    </row>
    <row r="93" spans="1:3" ht="15" customHeight="1" x14ac:dyDescent="0.2">
      <c r="A93" s="13" t="s">
        <v>60</v>
      </c>
      <c r="B93" s="46" t="s">
        <v>38</v>
      </c>
      <c r="C93" s="43" t="s">
        <v>39</v>
      </c>
    </row>
    <row r="94" spans="1:3" ht="15" customHeight="1" x14ac:dyDescent="0.2">
      <c r="A94" s="40" t="s">
        <v>80</v>
      </c>
      <c r="B94" s="1">
        <v>4.1999999999999997E-3</v>
      </c>
      <c r="C94" s="10">
        <f t="shared" ref="C94:C102" si="1">TRUNC($C$49*B94,2)</f>
        <v>9.61</v>
      </c>
    </row>
    <row r="95" spans="1:3" ht="15" customHeight="1" x14ac:dyDescent="0.2">
      <c r="A95" s="40" t="s">
        <v>81</v>
      </c>
      <c r="B95" s="1">
        <f>B94*B74</f>
        <v>3.3599999999999998E-4</v>
      </c>
      <c r="C95" s="10">
        <f t="shared" si="1"/>
        <v>0.76</v>
      </c>
    </row>
    <row r="96" spans="1:3" ht="15" customHeight="1" x14ac:dyDescent="0.2">
      <c r="A96" s="40" t="s">
        <v>82</v>
      </c>
      <c r="B96" s="1">
        <f>B95*50%</f>
        <v>1.6799999999999999E-4</v>
      </c>
      <c r="C96" s="10">
        <f t="shared" si="1"/>
        <v>0.38</v>
      </c>
    </row>
    <row r="97" spans="1:3" ht="15" customHeight="1" x14ac:dyDescent="0.2">
      <c r="A97" s="48" t="s">
        <v>83</v>
      </c>
      <c r="B97" s="1">
        <v>3.3599999999999998E-2</v>
      </c>
      <c r="C97" s="10">
        <f t="shared" si="1"/>
        <v>76.930000000000007</v>
      </c>
    </row>
    <row r="98" spans="1:3" ht="15" customHeight="1" x14ac:dyDescent="0.2">
      <c r="A98" s="40" t="s">
        <v>84</v>
      </c>
      <c r="B98" s="1">
        <v>4.0000000000000002E-4</v>
      </c>
      <c r="C98" s="10">
        <f t="shared" si="1"/>
        <v>0.91</v>
      </c>
    </row>
    <row r="99" spans="1:3" ht="15" customHeight="1" x14ac:dyDescent="0.2">
      <c r="A99" s="40" t="s">
        <v>85</v>
      </c>
      <c r="B99" s="1">
        <v>1.9400000000000001E-2</v>
      </c>
      <c r="C99" s="10">
        <f t="shared" si="1"/>
        <v>44.41</v>
      </c>
    </row>
    <row r="100" spans="1:3" ht="15" customHeight="1" x14ac:dyDescent="0.2">
      <c r="A100" s="40" t="s">
        <v>86</v>
      </c>
      <c r="B100" s="1">
        <f>(B98+B99)*B76</f>
        <v>5.7420000000000014E-3</v>
      </c>
      <c r="C100" s="10">
        <f t="shared" si="1"/>
        <v>13.14</v>
      </c>
    </row>
    <row r="101" spans="1:3" ht="15" customHeight="1" x14ac:dyDescent="0.2">
      <c r="A101" s="40" t="s">
        <v>87</v>
      </c>
      <c r="B101" s="1">
        <f>(B98+B99)*B74*50%</f>
        <v>7.9200000000000006E-4</v>
      </c>
      <c r="C101" s="10">
        <f t="shared" si="1"/>
        <v>1.81</v>
      </c>
    </row>
    <row r="102" spans="1:3" ht="15" customHeight="1" x14ac:dyDescent="0.2">
      <c r="A102" s="40" t="s">
        <v>88</v>
      </c>
      <c r="B102" s="1">
        <v>8.0000000000000004E-4</v>
      </c>
      <c r="C102" s="10">
        <f t="shared" si="1"/>
        <v>1.83</v>
      </c>
    </row>
    <row r="103" spans="1:3" ht="15" customHeight="1" x14ac:dyDescent="0.2">
      <c r="A103" s="39" t="s">
        <v>89</v>
      </c>
      <c r="B103" s="4">
        <f>SUM(B94:B102)</f>
        <v>6.5437999999999996E-2</v>
      </c>
      <c r="C103" s="34">
        <f>SUM(C94:C102)</f>
        <v>149.78</v>
      </c>
    </row>
    <row r="104" spans="1:3" ht="15" customHeight="1" x14ac:dyDescent="0.2">
      <c r="A104" s="31"/>
      <c r="B104" s="28"/>
      <c r="C104" s="28"/>
    </row>
    <row r="105" spans="1:3" ht="15" customHeight="1" x14ac:dyDescent="0.2">
      <c r="A105" s="20" t="s">
        <v>90</v>
      </c>
      <c r="B105" s="28"/>
      <c r="C105" s="28"/>
    </row>
    <row r="106" spans="1:3" ht="15" customHeight="1" x14ac:dyDescent="0.2">
      <c r="A106" s="13" t="s">
        <v>60</v>
      </c>
      <c r="B106" s="46" t="s">
        <v>38</v>
      </c>
      <c r="C106" s="43" t="s">
        <v>39</v>
      </c>
    </row>
    <row r="107" spans="1:3" ht="15" customHeight="1" x14ac:dyDescent="0.2">
      <c r="A107" s="12" t="s">
        <v>91</v>
      </c>
      <c r="B107" s="1">
        <v>8.3299999999999999E-2</v>
      </c>
      <c r="C107" s="10">
        <f>TRUNC($C$49*B107,2)</f>
        <v>190.72</v>
      </c>
    </row>
    <row r="108" spans="1:3" ht="15" customHeight="1" x14ac:dyDescent="0.2">
      <c r="A108" s="12" t="s">
        <v>92</v>
      </c>
      <c r="B108" s="1">
        <v>1.3899999999999999E-2</v>
      </c>
      <c r="C108" s="10">
        <f>TRUNC($C$49*B108,2)</f>
        <v>31.82</v>
      </c>
    </row>
    <row r="109" spans="1:3" ht="15" customHeight="1" x14ac:dyDescent="0.2">
      <c r="A109" s="12" t="s">
        <v>93</v>
      </c>
      <c r="B109" s="1">
        <v>2.0000000000000001E-4</v>
      </c>
      <c r="C109" s="10">
        <f>TRUNC($C$49*B109,2)</f>
        <v>0.45</v>
      </c>
    </row>
    <row r="110" spans="1:3" ht="15" customHeight="1" x14ac:dyDescent="0.2">
      <c r="A110" s="12" t="s">
        <v>94</v>
      </c>
      <c r="B110" s="1">
        <v>2.8E-3</v>
      </c>
      <c r="C110" s="10">
        <f>TRUNC($C$49*B110,2)</f>
        <v>6.41</v>
      </c>
    </row>
    <row r="111" spans="1:3" ht="15" customHeight="1" x14ac:dyDescent="0.2">
      <c r="A111" s="12" t="s">
        <v>95</v>
      </c>
      <c r="B111" s="1">
        <v>2.9999999999999997E-4</v>
      </c>
      <c r="C111" s="10">
        <f>TRUNC($C$49*B111,2)</f>
        <v>0.68</v>
      </c>
    </row>
    <row r="112" spans="1:3" ht="15" customHeight="1" x14ac:dyDescent="0.2">
      <c r="A112" s="41" t="s">
        <v>96</v>
      </c>
      <c r="B112" s="3">
        <f>SUM(B107:B111)</f>
        <v>0.10049999999999999</v>
      </c>
      <c r="C112" s="34">
        <f>SUM(C107:C111)</f>
        <v>230.07999999999998</v>
      </c>
    </row>
    <row r="113" spans="1:3" ht="15" customHeight="1" x14ac:dyDescent="0.2">
      <c r="A113" s="47" t="s">
        <v>97</v>
      </c>
      <c r="B113" s="2">
        <f>B112*B76</f>
        <v>2.9145000000000001E-2</v>
      </c>
      <c r="C113" s="10">
        <f>TRUNC($C$49*B113,2)</f>
        <v>66.73</v>
      </c>
    </row>
    <row r="114" spans="1:3" ht="15" customHeight="1" x14ac:dyDescent="0.2">
      <c r="A114" s="41" t="s">
        <v>98</v>
      </c>
      <c r="B114" s="3">
        <f>B112+B113</f>
        <v>0.12964499999999998</v>
      </c>
      <c r="C114" s="34">
        <f>C112+C113</f>
        <v>296.81</v>
      </c>
    </row>
    <row r="115" spans="1:3" ht="15" customHeight="1" x14ac:dyDescent="0.2">
      <c r="A115" s="15"/>
      <c r="B115" s="15"/>
      <c r="C115" s="15"/>
    </row>
    <row r="116" spans="1:3" ht="15" customHeight="1" x14ac:dyDescent="0.2">
      <c r="A116" s="25" t="s">
        <v>99</v>
      </c>
      <c r="B116" s="28"/>
      <c r="C116" s="28"/>
    </row>
    <row r="117" spans="1:3" ht="15" customHeight="1" x14ac:dyDescent="0.2">
      <c r="A117" s="13" t="s">
        <v>100</v>
      </c>
      <c r="B117" s="46" t="s">
        <v>38</v>
      </c>
      <c r="C117" s="43" t="s">
        <v>39</v>
      </c>
    </row>
    <row r="118" spans="1:3" ht="15" customHeight="1" x14ac:dyDescent="0.2">
      <c r="A118" s="16" t="s">
        <v>101</v>
      </c>
      <c r="B118" s="1">
        <f>B76</f>
        <v>0.29000000000000004</v>
      </c>
      <c r="C118" s="36">
        <f>C76</f>
        <v>663.99</v>
      </c>
    </row>
    <row r="119" spans="1:3" ht="15" customHeight="1" x14ac:dyDescent="0.2">
      <c r="A119" s="37" t="s">
        <v>102</v>
      </c>
      <c r="B119" s="1">
        <f>B84</f>
        <v>0.143319</v>
      </c>
      <c r="C119" s="36">
        <f>C84</f>
        <v>328.14</v>
      </c>
    </row>
    <row r="120" spans="1:3" ht="15" customHeight="1" x14ac:dyDescent="0.2">
      <c r="A120" s="16" t="s">
        <v>103</v>
      </c>
      <c r="B120" s="1">
        <f>B90</f>
        <v>3.8699999999999997E-4</v>
      </c>
      <c r="C120" s="36">
        <f>C90</f>
        <v>0.87000000000000011</v>
      </c>
    </row>
    <row r="121" spans="1:3" ht="15" customHeight="1" x14ac:dyDescent="0.2">
      <c r="A121" s="16" t="s">
        <v>104</v>
      </c>
      <c r="B121" s="1">
        <f>B103</f>
        <v>6.5437999999999996E-2</v>
      </c>
      <c r="C121" s="36">
        <f>C103</f>
        <v>149.78</v>
      </c>
    </row>
    <row r="122" spans="1:3" ht="15" customHeight="1" x14ac:dyDescent="0.2">
      <c r="A122" s="38" t="s">
        <v>105</v>
      </c>
      <c r="B122" s="1">
        <f>B114</f>
        <v>0.12964499999999998</v>
      </c>
      <c r="C122" s="36">
        <f>C114</f>
        <v>296.81</v>
      </c>
    </row>
    <row r="123" spans="1:3" ht="15" customHeight="1" x14ac:dyDescent="0.2">
      <c r="A123" s="44" t="s">
        <v>106</v>
      </c>
      <c r="B123" s="4">
        <f>SUM(B118:B122)</f>
        <v>0.62878900000000004</v>
      </c>
      <c r="C123" s="34">
        <f>SUM(C118:C122)</f>
        <v>1439.59</v>
      </c>
    </row>
    <row r="124" spans="1:3" ht="15" customHeight="1" x14ac:dyDescent="0.2">
      <c r="A124" s="15"/>
      <c r="B124" s="21"/>
      <c r="C124" s="21"/>
    </row>
    <row r="125" spans="1:3" ht="25.5" x14ac:dyDescent="0.2">
      <c r="A125" s="44" t="s">
        <v>107</v>
      </c>
      <c r="B125" s="33" t="s">
        <v>108</v>
      </c>
      <c r="C125" s="45">
        <f>C49+C58+C63+C123</f>
        <v>4285.8284999999996</v>
      </c>
    </row>
    <row r="126" spans="1:3" ht="15" customHeight="1" x14ac:dyDescent="0.2">
      <c r="A126" s="25"/>
      <c r="B126" s="21"/>
      <c r="C126" s="32"/>
    </row>
    <row r="127" spans="1:3" ht="15" customHeight="1" x14ac:dyDescent="0.2">
      <c r="A127" s="15"/>
      <c r="B127" s="15"/>
      <c r="C127" s="15"/>
    </row>
    <row r="128" spans="1:3" ht="15" customHeight="1" x14ac:dyDescent="0.2">
      <c r="A128" s="15"/>
      <c r="B128" s="15"/>
      <c r="C128" s="15"/>
    </row>
  </sheetData>
  <mergeCells count="3">
    <mergeCell ref="A29:B29"/>
    <mergeCell ref="A36:B36"/>
    <mergeCell ref="A37:B37"/>
  </mergeCells>
  <dataValidations count="1">
    <dataValidation allowBlank="1" showErrorMessage="1" sqref="B32" xr:uid="{D74F8C6E-1730-47E0-AB84-7E3E0D4E59C4}">
      <formula1>0</formula1>
      <formula2>0</formula2>
    </dataValidation>
  </dataValidations>
  <printOptions horizontalCentered="1" verticalCentered="1"/>
  <pageMargins left="0.11811023622047245" right="0.11811023622047245" top="0.39370078740157483" bottom="0.39370078740157483" header="0.31496062992125984" footer="0.31496062992125984"/>
  <pageSetup paperSize="9" scale="80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Totais Finais</vt:lpstr>
      <vt:lpstr>Servente Limpeza 40%</vt:lpstr>
      <vt:lpstr>Aux.Serv.Gerais</vt:lpstr>
      <vt:lpstr>Limpador Alpinista</vt:lpstr>
      <vt:lpstr>Supervisor</vt:lpstr>
    </vt:vector>
  </TitlesOfParts>
  <Manager/>
  <Company>McGnity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Estudo custos</dc:title>
  <dc:subject/>
  <dc:creator>Jorge A. Mac Genity</dc:creator>
  <cp:keywords/>
  <dc:description>Aprimorado por Jorge A. Mac Genity em 10/04/2013.</dc:description>
  <cp:lastModifiedBy>Vinicius Ferreira Sebben</cp:lastModifiedBy>
  <cp:revision/>
  <cp:lastPrinted>2023-03-27T12:53:23Z</cp:lastPrinted>
  <dcterms:created xsi:type="dcterms:W3CDTF">2002-06-10T15:51:10Z</dcterms:created>
  <dcterms:modified xsi:type="dcterms:W3CDTF">2023-07-06T17:30:13Z</dcterms:modified>
  <cp:category/>
  <cp:contentStatus/>
</cp:coreProperties>
</file>